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mc:AlternateContent xmlns:mc="http://schemas.openxmlformats.org/markup-compatibility/2006">
    <mc:Choice Requires="x15">
      <x15ac:absPath xmlns:x15ac="http://schemas.microsoft.com/office/spreadsheetml/2010/11/ac" url="C:\Users\anna\OneDrive - Boy Scouts of America\Recharter\2022 recharter\"/>
    </mc:Choice>
  </mc:AlternateContent>
  <xr:revisionPtr revIDLastSave="0" documentId="8_{E5E84A59-49CA-4B14-A5BA-2B6E3EC62B87}" xr6:coauthVersionLast="47" xr6:coauthVersionMax="47" xr10:uidLastSave="{00000000-0000-0000-0000-000000000000}"/>
  <bookViews>
    <workbookView xWindow="-21600" yWindow="2595" windowWidth="21600" windowHeight="11385" xr2:uid="{00000000-000D-0000-FFFF-FFFF00000000}"/>
  </bookViews>
  <sheets>
    <sheet name="Setup &amp; Instructions" sheetId="2" r:id="rId1"/>
    <sheet name="Data Entry" sheetId="1" r:id="rId2"/>
    <sheet name="Scorecard" sheetId="4" r:id="rId3"/>
  </sheets>
  <definedNames>
    <definedName name="adds">'Data Entry'!$L$26</definedName>
    <definedName name="beascout_flag">'Data Entry'!$N$21</definedName>
    <definedName name="bronze_met">'Data Entry'!$N$22</definedName>
    <definedName name="build_bronze_score">'Data Entry'!$K$21</definedName>
    <definedName name="build_gold_points">'Data Entry'!$M$21</definedName>
    <definedName name="build_gold_score">'Data Entry'!$J$18</definedName>
    <definedName name="build_silver_points">'Data Entry'!$L$21</definedName>
    <definedName name="build_silver_score">'Data Entry'!$I$18</definedName>
    <definedName name="DistrictName">'Setup &amp; Instructions'!$C$7</definedName>
    <definedName name="drops">'Data Entry'!$L$24</definedName>
    <definedName name="gain">'Data Entry'!$L$27</definedName>
    <definedName name="gold_auto_score">'Data Entry'!$M$23</definedName>
    <definedName name="num_scouts">'Data Entry'!$D$30</definedName>
    <definedName name="_xlnm.Print_Titles" localSheetId="1">'Data Entry'!$1:$4</definedName>
    <definedName name="RECHARTER_CALC">'Data Entry'!$M$38</definedName>
    <definedName name="recruitment_event">'Data Entry'!$D$21</definedName>
    <definedName name="silver_auto_score">'Data Entry'!$L$23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1" l="1"/>
  <c r="C22" i="1"/>
  <c r="L27" i="1"/>
  <c r="F31" i="1"/>
  <c r="K24" i="1" s="1"/>
  <c r="E28" i="1" l="1"/>
  <c r="E24" i="1"/>
  <c r="C34" i="1" l="1"/>
  <c r="F29" i="1" l="1"/>
  <c r="F36" i="1" s="1"/>
  <c r="F34" i="1" l="1"/>
  <c r="C35" i="1"/>
  <c r="C24" i="1"/>
  <c r="F38" i="1" l="1"/>
  <c r="C29" i="1"/>
  <c r="F28" i="1"/>
  <c r="C28" i="1"/>
  <c r="F24" i="1"/>
  <c r="F113" i="1"/>
  <c r="F43" i="1"/>
  <c r="M38" i="1" l="1"/>
  <c r="A1" i="1"/>
  <c r="N22" i="1"/>
  <c r="L26" i="1"/>
  <c r="L24" i="1"/>
  <c r="F50" i="1"/>
  <c r="K50" i="1" s="1"/>
  <c r="K26" i="1"/>
  <c r="K44" i="1"/>
  <c r="F110" i="1"/>
  <c r="F112" i="1" s="1"/>
  <c r="F67" i="1"/>
  <c r="K67" i="1" s="1"/>
  <c r="F115" i="1"/>
  <c r="F105" i="1"/>
  <c r="K102" i="1" s="1"/>
  <c r="F95" i="1"/>
  <c r="K83" i="1" s="1"/>
  <c r="F77" i="1"/>
  <c r="K73" i="1" s="1"/>
  <c r="F62" i="1"/>
  <c r="K55" i="1" s="1"/>
  <c r="A1" i="4"/>
  <c r="A2" i="1"/>
  <c r="F15" i="1"/>
  <c r="K10" i="1" s="1"/>
  <c r="K111" i="1" l="1"/>
  <c r="J107" i="1" s="1"/>
  <c r="K19" i="4" s="1"/>
  <c r="K37" i="1"/>
  <c r="J18" i="1"/>
  <c r="H64" i="1"/>
  <c r="I14" i="4" s="1"/>
  <c r="J64" i="1"/>
  <c r="K14" i="4" s="1"/>
  <c r="I64" i="1"/>
  <c r="J14" i="4" s="1"/>
  <c r="H52" i="1"/>
  <c r="I13" i="4" s="1"/>
  <c r="J52" i="1"/>
  <c r="K13" i="4" s="1"/>
  <c r="I52" i="1"/>
  <c r="J13" i="4" s="1"/>
  <c r="J6" i="1"/>
  <c r="K6" i="4" s="1"/>
  <c r="H6" i="1"/>
  <c r="I6" i="1"/>
  <c r="H79" i="1"/>
  <c r="I16" i="4" s="1"/>
  <c r="J79" i="1"/>
  <c r="K16" i="4" s="1"/>
  <c r="I79" i="1"/>
  <c r="J16" i="4" s="1"/>
  <c r="I69" i="1"/>
  <c r="J15" i="4" s="1"/>
  <c r="J69" i="1"/>
  <c r="K15" i="4" s="1"/>
  <c r="H69" i="1"/>
  <c r="I15" i="4" s="1"/>
  <c r="J40" i="1"/>
  <c r="K10" i="4" s="1"/>
  <c r="H40" i="1"/>
  <c r="I10" i="4" s="1"/>
  <c r="I40" i="1"/>
  <c r="J10" i="4" s="1"/>
  <c r="J47" i="1"/>
  <c r="K12" i="4" s="1"/>
  <c r="I47" i="1"/>
  <c r="J12" i="4" s="1"/>
  <c r="H47" i="1"/>
  <c r="I12" i="4" s="1"/>
  <c r="J98" i="1"/>
  <c r="K18" i="4" s="1"/>
  <c r="I98" i="1"/>
  <c r="J18" i="4" s="1"/>
  <c r="H98" i="1"/>
  <c r="I18" i="4" s="1"/>
  <c r="I107" i="1" l="1"/>
  <c r="J19" i="4" s="1"/>
  <c r="H107" i="1"/>
  <c r="I19" i="4" s="1"/>
  <c r="J33" i="1"/>
  <c r="K9" i="4" s="1"/>
  <c r="I33" i="1"/>
  <c r="J9" i="4" s="1"/>
  <c r="H33" i="1"/>
  <c r="I9" i="4" s="1"/>
  <c r="I18" i="1"/>
  <c r="J120" i="1"/>
  <c r="K8" i="4"/>
  <c r="J6" i="4"/>
  <c r="I6" i="4"/>
  <c r="I120" i="1" l="1"/>
  <c r="J118" i="1"/>
  <c r="H18" i="1"/>
  <c r="I8" i="4" s="1"/>
  <c r="I118" i="1"/>
  <c r="J8" i="4"/>
  <c r="H120" i="1" l="1"/>
  <c r="J121" i="1" s="1"/>
  <c r="H23" i="4" s="1"/>
  <c r="H118" i="1"/>
  <c r="J119" i="1" s="1"/>
  <c r="D119" i="1" l="1"/>
  <c r="A121" i="1" s="1"/>
  <c r="H21" i="4"/>
  <c r="A120" i="1" l="1"/>
  <c r="A22" i="4"/>
  <c r="A21" i="4"/>
  <c r="A119" i="1"/>
  <c r="A2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Rand</author>
    <author>Rick Hillenbrand</author>
  </authors>
  <commentList>
    <comment ref="F15" authorId="0" shapeId="0" xr:uid="{00000000-0006-0000-0100-000001000000}">
      <text>
        <r>
          <rPr>
            <sz val="8"/>
            <color rgb="FF000000"/>
            <rFont val="Tahoma"/>
            <family val="2"/>
          </rPr>
          <t xml:space="preserve">Counts number of cells with committee meeting dates entered.
</t>
        </r>
      </text>
    </comment>
    <comment ref="D26" authorId="1" shapeId="0" xr:uid="{766B9BD1-599F-4A4E-B5E4-4CEC45ED4E39}">
      <text>
        <r>
          <rPr>
            <sz val="8"/>
            <color rgb="FF000000"/>
            <rFont val="Tahoma"/>
            <family val="2"/>
          </rPr>
          <t>Do NOT include AoL transfers.</t>
        </r>
      </text>
    </comment>
    <comment ref="F29" authorId="0" shapeId="0" xr:uid="{00000000-0006-0000-0100-000002000000}">
      <text>
        <r>
          <rPr>
            <sz val="8"/>
            <color rgb="FF000000"/>
            <rFont val="Tahoma"/>
            <family val="2"/>
          </rPr>
          <t>Note: This value may be different than on your recharter package depending on how you handled AoLs joining the unit.
=A-B+D+E+F</t>
        </r>
      </text>
    </comment>
    <comment ref="F31" authorId="0" shapeId="0" xr:uid="{00000000-0006-0000-0100-000003000000}">
      <text>
        <r>
          <rPr>
            <sz val="8"/>
            <color rgb="FF000000"/>
            <rFont val="Tahoma"/>
            <family val="2"/>
          </rPr>
          <t xml:space="preserve">=H/A-1
</t>
        </r>
      </text>
    </comment>
    <comment ref="F38" authorId="0" shapeId="0" xr:uid="{00000000-0006-0000-0100-000005000000}">
      <text>
        <r>
          <rPr>
            <sz val="8"/>
            <color rgb="FF000000"/>
            <rFont val="Tahoma"/>
            <family val="2"/>
          </rPr>
          <t>Number reregistered divided by number eligible to reregister.  (Applications submitted with recharter will be subracted here)
=(H-J)/K (not to exceed 100%)</t>
        </r>
      </text>
    </comment>
    <comment ref="F43" authorId="0" shapeId="0" xr:uid="{00000000-0006-0000-0100-000006000000}">
      <text>
        <r>
          <rPr>
            <sz val="8"/>
            <color rgb="FF000000"/>
            <rFont val="Tahoma"/>
            <family val="2"/>
          </rPr>
          <t>Same value as E.</t>
        </r>
      </text>
    </comment>
    <comment ref="F50" authorId="0" shapeId="0" xr:uid="{00000000-0006-0000-0100-000008000000}">
      <text>
        <r>
          <rPr>
            <sz val="8"/>
            <color rgb="FF000000"/>
            <rFont val="Tahoma"/>
            <family val="2"/>
          </rPr>
          <t>Count of Scouts advancing divided by current membership.</t>
        </r>
      </text>
    </comment>
    <comment ref="F62" authorId="0" shapeId="0" xr:uid="{00000000-0006-0000-0100-000009000000}">
      <text>
        <r>
          <rPr>
            <sz val="8"/>
            <color rgb="FF000000"/>
            <rFont val="Tahoma"/>
            <family val="2"/>
          </rPr>
          <t>Counts number of cells with overnight campout dates entered.</t>
        </r>
      </text>
    </comment>
    <comment ref="F67" authorId="0" shapeId="0" xr:uid="{00000000-0006-0000-0100-00000A000000}">
      <text>
        <r>
          <rPr>
            <sz val="8"/>
            <color rgb="FF000000"/>
            <rFont val="Tahoma"/>
            <family val="2"/>
          </rPr>
          <t>Number of Scouts camping divided by number registered on June 30.</t>
        </r>
      </text>
    </comment>
    <comment ref="F77" authorId="0" shapeId="0" xr:uid="{00000000-0006-0000-0100-00000B000000}">
      <text>
        <r>
          <rPr>
            <sz val="8"/>
            <color rgb="FF000000"/>
            <rFont val="Tahoma"/>
            <family val="2"/>
          </rPr>
          <t>Counts number of cells with service project dates entered.</t>
        </r>
      </text>
    </comment>
    <comment ref="F95" authorId="0" shapeId="0" xr:uid="{00000000-0006-0000-0100-00000C000000}">
      <text>
        <r>
          <rPr>
            <sz val="8"/>
            <color rgb="FF000000"/>
            <rFont val="Tahoma"/>
            <family val="2"/>
          </rPr>
          <t>Counts number of cells with PLC meeting dates entered.</t>
        </r>
      </text>
    </comment>
    <comment ref="F105" authorId="0" shapeId="0" xr:uid="{00000000-0006-0000-0100-00000D000000}">
      <text>
        <r>
          <rPr>
            <sz val="8"/>
            <color rgb="FF000000"/>
            <rFont val="Tahoma"/>
            <family val="2"/>
          </rPr>
          <t>Counts number of cells with courts of honor dates entered.</t>
        </r>
      </text>
    </comment>
    <comment ref="F110" authorId="0" shapeId="0" xr:uid="{00000000-0006-0000-0100-00000E000000}">
      <text>
        <r>
          <rPr>
            <sz val="8"/>
            <color rgb="FF000000"/>
            <rFont val="Tahoma"/>
            <family val="2"/>
          </rPr>
          <t>Same value as Cell D100.</t>
        </r>
      </text>
    </comment>
    <comment ref="F112" authorId="0" shapeId="0" xr:uid="{00000000-0006-0000-0100-00000F000000}">
      <text>
        <r>
          <rPr>
            <sz val="8"/>
            <color rgb="FF000000"/>
            <rFont val="Tahoma"/>
            <family val="2"/>
          </rPr>
          <t>Number of assistant Scoutmasters completing training divided by total number of assistant Scoutmasters.</t>
        </r>
      </text>
    </comment>
    <comment ref="F113" authorId="0" shapeId="0" xr:uid="{00000000-0006-0000-0100-000010000000}">
      <text>
        <r>
          <rPr>
            <sz val="8"/>
            <color rgb="FF000000"/>
            <rFont val="Tahoma"/>
            <family val="2"/>
          </rPr>
          <t>Same value as Cell D101.</t>
        </r>
      </text>
    </comment>
    <comment ref="F115" authorId="0" shapeId="0" xr:uid="{00000000-0006-0000-0100-000011000000}">
      <text>
        <r>
          <rPr>
            <sz val="8"/>
            <color rgb="FF000000"/>
            <rFont val="Tahoma"/>
            <family val="2"/>
          </rPr>
          <t>Number of committee members completing training divided by total number of committee members.</t>
        </r>
      </text>
    </comment>
  </commentList>
</comments>
</file>

<file path=xl/sharedStrings.xml><?xml version="1.0" encoding="utf-8"?>
<sst xmlns="http://schemas.openxmlformats.org/spreadsheetml/2006/main" count="222" uniqueCount="204">
  <si>
    <t>Objective</t>
  </si>
  <si>
    <t>Bronze Points</t>
  </si>
  <si>
    <t>Silver Points</t>
  </si>
  <si>
    <t>Gold Points</t>
  </si>
  <si>
    <t>Item No.</t>
  </si>
  <si>
    <t>Parameter</t>
  </si>
  <si>
    <t>Calculated Values</t>
  </si>
  <si>
    <t>User
Input</t>
  </si>
  <si>
    <r>
      <t xml:space="preserve"> </t>
    </r>
    <r>
      <rPr>
        <i/>
        <sz val="10"/>
        <color indexed="8"/>
        <rFont val="Calibri"/>
        <family val="2"/>
      </rPr>
      <t>Count:</t>
    </r>
    <r>
      <rPr>
        <sz val="10"/>
        <color indexed="8"/>
        <rFont val="Calibri"/>
        <family val="2"/>
      </rPr>
      <t xml:space="preserve"> Total number of committee meetings</t>
    </r>
  </si>
  <si>
    <r>
      <rPr>
        <i/>
        <sz val="10"/>
        <color indexed="8"/>
        <rFont val="Calibri"/>
        <family val="2"/>
      </rPr>
      <t xml:space="preserve">    Date:</t>
    </r>
    <r>
      <rPr>
        <sz val="10"/>
        <color indexed="8"/>
        <rFont val="Calibri"/>
        <family val="2"/>
      </rPr>
      <t xml:space="preserve"> Committee meeting #1</t>
    </r>
  </si>
  <si>
    <r>
      <rPr>
        <i/>
        <sz val="10"/>
        <color indexed="8"/>
        <rFont val="Calibri"/>
        <family val="2"/>
      </rPr>
      <t xml:space="preserve">    Date:</t>
    </r>
    <r>
      <rPr>
        <sz val="10"/>
        <color indexed="8"/>
        <rFont val="Calibri"/>
        <family val="2"/>
      </rPr>
      <t xml:space="preserve"> Committee meeting #2</t>
    </r>
    <r>
      <rPr>
        <sz val="11"/>
        <color indexed="8"/>
        <rFont val="Calibri"/>
        <family val="2"/>
      </rPr>
      <t/>
    </r>
  </si>
  <si>
    <r>
      <rPr>
        <i/>
        <sz val="10"/>
        <color indexed="8"/>
        <rFont val="Calibri"/>
        <family val="2"/>
      </rPr>
      <t xml:space="preserve">    Date:</t>
    </r>
    <r>
      <rPr>
        <sz val="10"/>
        <color indexed="8"/>
        <rFont val="Calibri"/>
        <family val="2"/>
      </rPr>
      <t xml:space="preserve"> Committee meeting #3</t>
    </r>
    <r>
      <rPr>
        <sz val="11"/>
        <color indexed="8"/>
        <rFont val="Calibri"/>
        <family val="2"/>
      </rPr>
      <t/>
    </r>
  </si>
  <si>
    <r>
      <rPr>
        <i/>
        <sz val="10"/>
        <color indexed="8"/>
        <rFont val="Calibri"/>
        <family val="2"/>
      </rPr>
      <t xml:space="preserve">    Date:</t>
    </r>
    <r>
      <rPr>
        <sz val="10"/>
        <color indexed="8"/>
        <rFont val="Calibri"/>
        <family val="2"/>
      </rPr>
      <t xml:space="preserve"> Committee meeting #4</t>
    </r>
    <r>
      <rPr>
        <sz val="11"/>
        <color indexed="8"/>
        <rFont val="Calibri"/>
        <family val="2"/>
      </rPr>
      <t/>
    </r>
  </si>
  <si>
    <r>
      <rPr>
        <i/>
        <sz val="10"/>
        <color indexed="8"/>
        <rFont val="Calibri"/>
        <family val="2"/>
      </rPr>
      <t xml:space="preserve">    Date:</t>
    </r>
    <r>
      <rPr>
        <sz val="10"/>
        <color indexed="8"/>
        <rFont val="Calibri"/>
        <family val="2"/>
      </rPr>
      <t xml:space="preserve"> Committee meeting #5</t>
    </r>
    <r>
      <rPr>
        <sz val="11"/>
        <color indexed="8"/>
        <rFont val="Calibri"/>
        <family val="2"/>
      </rPr>
      <t/>
    </r>
  </si>
  <si>
    <r>
      <rPr>
        <i/>
        <sz val="10"/>
        <color indexed="8"/>
        <rFont val="Calibri"/>
        <family val="2"/>
      </rPr>
      <t xml:space="preserve">    Date:</t>
    </r>
    <r>
      <rPr>
        <sz val="10"/>
        <color indexed="8"/>
        <rFont val="Calibri"/>
        <family val="2"/>
      </rPr>
      <t xml:space="preserve"> Committee meeting #6</t>
    </r>
    <r>
      <rPr>
        <sz val="11"/>
        <color indexed="8"/>
        <rFont val="Calibri"/>
        <family val="2"/>
      </rPr>
      <t/>
    </r>
  </si>
  <si>
    <r>
      <rPr>
        <i/>
        <sz val="10"/>
        <color indexed="8"/>
        <rFont val="Calibri"/>
        <family val="2"/>
      </rPr>
      <t xml:space="preserve"> Percent:</t>
    </r>
    <r>
      <rPr>
        <sz val="10"/>
        <color indexed="8"/>
        <rFont val="Calibri"/>
        <family val="2"/>
      </rPr>
      <t xml:space="preserve"> Camping rate</t>
    </r>
  </si>
  <si>
    <r>
      <rPr>
        <i/>
        <sz val="10"/>
        <color indexed="8"/>
        <rFont val="Calibri"/>
        <family val="2"/>
      </rPr>
      <t xml:space="preserve">    Date: </t>
    </r>
    <r>
      <rPr>
        <sz val="10"/>
        <color indexed="8"/>
        <rFont val="Calibri"/>
        <family val="2"/>
      </rPr>
      <t>Service project #1</t>
    </r>
  </si>
  <si>
    <r>
      <rPr>
        <i/>
        <sz val="10"/>
        <color indexed="8"/>
        <rFont val="Calibri"/>
        <family val="2"/>
      </rPr>
      <t xml:space="preserve">    Date: </t>
    </r>
    <r>
      <rPr>
        <sz val="10"/>
        <color indexed="8"/>
        <rFont val="Calibri"/>
        <family val="2"/>
      </rPr>
      <t>Service project #2</t>
    </r>
    <r>
      <rPr>
        <sz val="11"/>
        <color indexed="8"/>
        <rFont val="Calibri"/>
        <family val="2"/>
      </rPr>
      <t/>
    </r>
  </si>
  <si>
    <r>
      <rPr>
        <i/>
        <sz val="10"/>
        <color indexed="8"/>
        <rFont val="Calibri"/>
        <family val="2"/>
      </rPr>
      <t xml:space="preserve">    Date: </t>
    </r>
    <r>
      <rPr>
        <sz val="10"/>
        <color indexed="8"/>
        <rFont val="Calibri"/>
        <family val="2"/>
      </rPr>
      <t>Service project #3</t>
    </r>
    <r>
      <rPr>
        <sz val="11"/>
        <color indexed="8"/>
        <rFont val="Calibri"/>
        <family val="2"/>
      </rPr>
      <t/>
    </r>
  </si>
  <si>
    <r>
      <t xml:space="preserve"> </t>
    </r>
    <r>
      <rPr>
        <i/>
        <sz val="10"/>
        <color indexed="8"/>
        <rFont val="Calibri"/>
        <family val="2"/>
      </rPr>
      <t>Count:</t>
    </r>
    <r>
      <rPr>
        <sz val="10"/>
        <color indexed="8"/>
        <rFont val="Calibri"/>
        <family val="2"/>
      </rPr>
      <t xml:space="preserve"> Total number of service projects</t>
    </r>
  </si>
  <si>
    <r>
      <rPr>
        <i/>
        <sz val="10"/>
        <color indexed="8"/>
        <rFont val="Calibri"/>
        <family val="2"/>
      </rPr>
      <t xml:space="preserve"> Count:</t>
    </r>
    <r>
      <rPr>
        <sz val="10"/>
        <color indexed="8"/>
        <rFont val="Calibri"/>
        <family val="2"/>
      </rPr>
      <t xml:space="preserve"> Number of committee members</t>
    </r>
  </si>
  <si>
    <r>
      <rPr>
        <i/>
        <sz val="10"/>
        <color indexed="8"/>
        <rFont val="Calibri"/>
        <family val="2"/>
      </rPr>
      <t xml:space="preserve">   Count:</t>
    </r>
    <r>
      <rPr>
        <sz val="10"/>
        <color indexed="8"/>
        <rFont val="Calibri"/>
        <family val="2"/>
      </rPr>
      <t xml:space="preserve"> Number with position-specific training</t>
    </r>
  </si>
  <si>
    <t>Planning and Budget</t>
  </si>
  <si>
    <t>Membership</t>
  </si>
  <si>
    <t>Voulnteer Leadership</t>
  </si>
  <si>
    <t>Program</t>
  </si>
  <si>
    <r>
      <rPr>
        <b/>
        <sz val="10"/>
        <color indexed="8"/>
        <rFont val="Calibri"/>
        <family val="2"/>
      </rPr>
      <t xml:space="preserve">Retention:
</t>
    </r>
    <r>
      <rPr>
        <sz val="10"/>
        <color indexed="8"/>
        <rFont val="Calibri"/>
        <family val="2"/>
      </rPr>
      <t>Retain a significant percentage of youth members.</t>
    </r>
  </si>
  <si>
    <t>Enter District Name</t>
  </si>
  <si>
    <t>Enter Report Date</t>
  </si>
  <si>
    <r>
      <rPr>
        <b/>
        <sz val="10"/>
        <rFont val="Calibri"/>
        <family val="2"/>
      </rPr>
      <t>Bronze:</t>
    </r>
    <r>
      <rPr>
        <sz val="10"/>
        <rFont val="Calibri"/>
        <family val="2"/>
      </rPr>
      <t xml:space="preserve">  Earn at least 525 points by earning points in at least 7 objectives.</t>
    </r>
  </si>
  <si>
    <t xml:space="preserve">    Total points earned:         </t>
  </si>
  <si>
    <t xml:space="preserve">    No. of objectives with points:         </t>
  </si>
  <si>
    <t>Item</t>
  </si>
  <si>
    <t>Bronze Level</t>
  </si>
  <si>
    <t>Silver Level</t>
  </si>
  <si>
    <t>Gold Level</t>
  </si>
  <si>
    <t>Total Points:</t>
  </si>
  <si>
    <t>#1</t>
  </si>
  <si>
    <t xml:space="preserve"> </t>
  </si>
  <si>
    <t>#2</t>
  </si>
  <si>
    <t>#3</t>
  </si>
  <si>
    <r>
      <t xml:space="preserve">Retention: </t>
    </r>
    <r>
      <rPr>
        <sz val="10"/>
        <rFont val="Arial"/>
        <family val="2"/>
      </rPr>
      <t xml:space="preserve"> Retain a significant percentage of youth members.</t>
    </r>
  </si>
  <si>
    <t>#4</t>
  </si>
  <si>
    <t>#5</t>
  </si>
  <si>
    <t>#6</t>
  </si>
  <si>
    <t>#7</t>
  </si>
  <si>
    <t>#8</t>
  </si>
  <si>
    <t>Participate in three service projects and enter the hours on the JTE website.</t>
  </si>
  <si>
    <t>#9</t>
  </si>
  <si>
    <t>Volunteer Leadership</t>
  </si>
  <si>
    <t>#10</t>
  </si>
  <si>
    <t>#11</t>
  </si>
  <si>
    <t>o</t>
  </si>
  <si>
    <r>
      <rPr>
        <b/>
        <sz val="10"/>
        <rFont val="Arial"/>
        <family val="2"/>
      </rPr>
      <t>Bronze:</t>
    </r>
    <r>
      <rPr>
        <sz val="10"/>
        <rFont val="Arial"/>
        <family val="2"/>
      </rPr>
      <t xml:space="preserve">  Earn at least 525 points by earning points in at least 7 objectives.</t>
    </r>
  </si>
  <si>
    <t xml:space="preserve">                                 Total points earned:         </t>
  </si>
  <si>
    <t xml:space="preserve">                                 No. of objectives with points:         </t>
  </si>
  <si>
    <t>We certify that these requirements have been completed:</t>
  </si>
  <si>
    <t>Date _____________________</t>
  </si>
  <si>
    <t>Committee chair _______________________________________________</t>
  </si>
  <si>
    <t>Commissioner _________________________________________________</t>
  </si>
  <si>
    <t>Additional Instructions</t>
  </si>
  <si>
    <t>2.  All other data will be entered in User Input (Column D on the Data Entry sheet.)</t>
  </si>
  <si>
    <r>
      <rPr>
        <i/>
        <sz val="10"/>
        <color indexed="8"/>
        <rFont val="Calibri"/>
        <family val="2"/>
      </rPr>
      <t xml:space="preserve"> Percent: </t>
    </r>
    <r>
      <rPr>
        <sz val="10"/>
        <color indexed="8"/>
        <rFont val="Calibri"/>
        <family val="2"/>
      </rPr>
      <t>Committee members completing training</t>
    </r>
  </si>
  <si>
    <t>Have an annual program plan and budget adopted by the troop committee.</t>
  </si>
  <si>
    <t>Reregister 80% of eligible members.</t>
  </si>
  <si>
    <t>Reregister 85% of eligible members.</t>
  </si>
  <si>
    <r>
      <t xml:space="preserve">Webelos-to-Scout transition:  </t>
    </r>
    <r>
      <rPr>
        <sz val="10"/>
        <rFont val="Arial"/>
        <family val="2"/>
      </rPr>
      <t>Have an effective plan to recruit Webelos Scouts into the troop.</t>
    </r>
  </si>
  <si>
    <t>Achieve Bronze, plus recruit two Webelos Scouts.</t>
  </si>
  <si>
    <t>Achieve Bronze, plus provide at least one den chief to a pack and recruit five Webelos Scouts.</t>
  </si>
  <si>
    <r>
      <t xml:space="preserve">Advancement:  </t>
    </r>
    <r>
      <rPr>
        <sz val="10"/>
        <rFont val="Arial"/>
        <family val="2"/>
      </rPr>
      <t>Achieve a high percentage of Boy Scouts earning rank advancements.</t>
    </r>
  </si>
  <si>
    <t>Conduct four short-term overnight campouts.</t>
  </si>
  <si>
    <t>Conduct seven short-term overnight campouts.</t>
  </si>
  <si>
    <t>Conduct nine short-term overnight campouts.</t>
  </si>
  <si>
    <t>The troop participates in a long-term camp.</t>
  </si>
  <si>
    <t>60% of Scouts attend a long-term camp.</t>
  </si>
  <si>
    <t>70% of Scouts attend a long-term camp.</t>
  </si>
  <si>
    <t>Participate in four service projects and enter the hours on the JTE website.</t>
  </si>
  <si>
    <t>Participate in five service projects and enter the hours on the JTE website.</t>
  </si>
  <si>
    <t>The troop has patrols, and each has a patrol leader. There is an SPL, if more than one patrol. The PLC meets at least four times a year.</t>
  </si>
  <si>
    <t>Achieve Bronze, plus PLC meets at least six times.  The troop conducts patrol leader training.</t>
  </si>
  <si>
    <t>Achieve Silver, plus PLC meets at least ten times. At least one Scout has attended an advanced training course, such as NYLT or Order of the Arrow Conference.</t>
  </si>
  <si>
    <t>Achieve Bronze, plus the troop holds two courts of honor, where troop plans are reviewed with parents.</t>
  </si>
  <si>
    <t>Achieve Bronze, plus the troop holds three courts of honor, where troop plans are reviewed with parents.</t>
  </si>
  <si>
    <t>Achieve Bronze, plus the Scoutmaster and 60% of assistants have completed position-specific training or, if new, will complete within three months of joining.</t>
  </si>
  <si>
    <r>
      <rPr>
        <b/>
        <sz val="10"/>
        <rFont val="Arial"/>
        <family val="2"/>
      </rPr>
      <t>Silver:</t>
    </r>
    <r>
      <rPr>
        <sz val="10"/>
        <rFont val="Arial"/>
        <family val="2"/>
      </rPr>
      <t xml:space="preserve">  Earn at least 750 points by earning points in at least 8 objectives.</t>
    </r>
  </si>
  <si>
    <r>
      <rPr>
        <b/>
        <sz val="10"/>
        <rFont val="Calibri"/>
        <family val="2"/>
      </rPr>
      <t>Silver:</t>
    </r>
    <r>
      <rPr>
        <sz val="10"/>
        <rFont val="Calibri"/>
        <family val="2"/>
      </rPr>
      <t xml:space="preserve">  Earn at least 750 points by earning points in at least 8 objectives.</t>
    </r>
  </si>
  <si>
    <r>
      <t xml:space="preserve"> </t>
    </r>
    <r>
      <rPr>
        <i/>
        <sz val="10"/>
        <color indexed="8"/>
        <rFont val="Calibri"/>
        <family val="2"/>
      </rPr>
      <t>Date:</t>
    </r>
    <r>
      <rPr>
        <sz val="10"/>
        <color indexed="8"/>
        <rFont val="Calibri"/>
        <family val="2"/>
      </rPr>
      <t xml:space="preserve"> Troop committee adopted annual program plan &amp; budget</t>
    </r>
  </si>
  <si>
    <r>
      <t xml:space="preserve"> </t>
    </r>
    <r>
      <rPr>
        <i/>
        <sz val="10"/>
        <color indexed="8"/>
        <rFont val="Calibri"/>
        <family val="2"/>
      </rPr>
      <t>Date:</t>
    </r>
    <r>
      <rPr>
        <sz val="10"/>
        <color indexed="8"/>
        <rFont val="Calibri"/>
        <family val="2"/>
      </rPr>
      <t xml:space="preserve"> Planning meeting involving youth leaders</t>
    </r>
  </si>
  <si>
    <r>
      <rPr>
        <i/>
        <sz val="10"/>
        <color indexed="8"/>
        <rFont val="Calibri"/>
        <family val="2"/>
      </rPr>
      <t xml:space="preserve"> Count:</t>
    </r>
    <r>
      <rPr>
        <sz val="10"/>
        <color indexed="8"/>
        <rFont val="Calibri"/>
        <family val="2"/>
      </rPr>
      <t xml:space="preserve"> Number of Scouts from the troop serving as den chiefs</t>
    </r>
  </si>
  <si>
    <r>
      <rPr>
        <i/>
        <sz val="10"/>
        <color indexed="8"/>
        <rFont val="Calibri"/>
        <family val="2"/>
      </rPr>
      <t xml:space="preserve">    Date:</t>
    </r>
    <r>
      <rPr>
        <sz val="10"/>
        <color indexed="8"/>
        <rFont val="Calibri"/>
        <family val="2"/>
      </rPr>
      <t xml:space="preserve"> Overnight campout #1</t>
    </r>
  </si>
  <si>
    <r>
      <rPr>
        <i/>
        <sz val="10"/>
        <color indexed="8"/>
        <rFont val="Calibri"/>
        <family val="2"/>
      </rPr>
      <t xml:space="preserve">    Date:</t>
    </r>
    <r>
      <rPr>
        <sz val="10"/>
        <color indexed="8"/>
        <rFont val="Calibri"/>
        <family val="2"/>
      </rPr>
      <t xml:space="preserve"> Overnight campout #2</t>
    </r>
    <r>
      <rPr>
        <sz val="11"/>
        <color indexed="8"/>
        <rFont val="Calibri"/>
        <family val="2"/>
      </rPr>
      <t/>
    </r>
  </si>
  <si>
    <r>
      <rPr>
        <i/>
        <sz val="10"/>
        <color indexed="8"/>
        <rFont val="Calibri"/>
        <family val="2"/>
      </rPr>
      <t xml:space="preserve">    Date:</t>
    </r>
    <r>
      <rPr>
        <sz val="10"/>
        <color indexed="8"/>
        <rFont val="Calibri"/>
        <family val="2"/>
      </rPr>
      <t xml:space="preserve"> Overnight campout #3</t>
    </r>
    <r>
      <rPr>
        <sz val="11"/>
        <color indexed="8"/>
        <rFont val="Calibri"/>
        <family val="2"/>
      </rPr>
      <t/>
    </r>
  </si>
  <si>
    <r>
      <rPr>
        <i/>
        <sz val="10"/>
        <color indexed="8"/>
        <rFont val="Calibri"/>
        <family val="2"/>
      </rPr>
      <t xml:space="preserve">    Date:</t>
    </r>
    <r>
      <rPr>
        <sz val="10"/>
        <color indexed="8"/>
        <rFont val="Calibri"/>
        <family val="2"/>
      </rPr>
      <t xml:space="preserve"> Overnight campout #4</t>
    </r>
    <r>
      <rPr>
        <sz val="11"/>
        <color indexed="8"/>
        <rFont val="Calibri"/>
        <family val="2"/>
      </rPr>
      <t/>
    </r>
  </si>
  <si>
    <r>
      <rPr>
        <i/>
        <sz val="10"/>
        <color indexed="8"/>
        <rFont val="Calibri"/>
        <family val="2"/>
      </rPr>
      <t xml:space="preserve">    Date:</t>
    </r>
    <r>
      <rPr>
        <sz val="10"/>
        <color indexed="8"/>
        <rFont val="Calibri"/>
        <family val="2"/>
      </rPr>
      <t xml:space="preserve"> Overnight campout #5</t>
    </r>
    <r>
      <rPr>
        <sz val="11"/>
        <color indexed="8"/>
        <rFont val="Calibri"/>
        <family val="2"/>
      </rPr>
      <t/>
    </r>
  </si>
  <si>
    <r>
      <rPr>
        <i/>
        <sz val="10"/>
        <color indexed="8"/>
        <rFont val="Calibri"/>
        <family val="2"/>
      </rPr>
      <t xml:space="preserve">    Date:</t>
    </r>
    <r>
      <rPr>
        <sz val="10"/>
        <color indexed="8"/>
        <rFont val="Calibri"/>
        <family val="2"/>
      </rPr>
      <t xml:space="preserve"> Overnight campout #6</t>
    </r>
    <r>
      <rPr>
        <sz val="11"/>
        <color indexed="8"/>
        <rFont val="Calibri"/>
        <family val="2"/>
      </rPr>
      <t/>
    </r>
  </si>
  <si>
    <r>
      <rPr>
        <i/>
        <sz val="10"/>
        <color indexed="8"/>
        <rFont val="Calibri"/>
        <family val="2"/>
      </rPr>
      <t xml:space="preserve">    Date:</t>
    </r>
    <r>
      <rPr>
        <sz val="10"/>
        <color indexed="8"/>
        <rFont val="Calibri"/>
        <family val="2"/>
      </rPr>
      <t xml:space="preserve"> Overnight campout #7</t>
    </r>
    <r>
      <rPr>
        <sz val="11"/>
        <color indexed="8"/>
        <rFont val="Calibri"/>
        <family val="2"/>
      </rPr>
      <t/>
    </r>
  </si>
  <si>
    <r>
      <rPr>
        <i/>
        <sz val="10"/>
        <color indexed="8"/>
        <rFont val="Calibri"/>
        <family val="2"/>
      </rPr>
      <t xml:space="preserve">    Date:</t>
    </r>
    <r>
      <rPr>
        <sz val="10"/>
        <color indexed="8"/>
        <rFont val="Calibri"/>
        <family val="2"/>
      </rPr>
      <t xml:space="preserve"> Overnight campout #8</t>
    </r>
    <r>
      <rPr>
        <sz val="11"/>
        <color indexed="8"/>
        <rFont val="Calibri"/>
        <family val="2"/>
      </rPr>
      <t/>
    </r>
  </si>
  <si>
    <r>
      <rPr>
        <i/>
        <sz val="10"/>
        <color indexed="8"/>
        <rFont val="Calibri"/>
        <family val="2"/>
      </rPr>
      <t xml:space="preserve">    Date:</t>
    </r>
    <r>
      <rPr>
        <sz val="10"/>
        <color indexed="8"/>
        <rFont val="Calibri"/>
        <family val="2"/>
      </rPr>
      <t xml:space="preserve"> Overnight campout #9</t>
    </r>
    <r>
      <rPr>
        <sz val="11"/>
        <color indexed="8"/>
        <rFont val="Calibri"/>
        <family val="2"/>
      </rPr>
      <t/>
    </r>
  </si>
  <si>
    <r>
      <t xml:space="preserve"> </t>
    </r>
    <r>
      <rPr>
        <i/>
        <sz val="10"/>
        <color indexed="8"/>
        <rFont val="Calibri"/>
        <family val="2"/>
      </rPr>
      <t>Count:</t>
    </r>
    <r>
      <rPr>
        <sz val="10"/>
        <color indexed="8"/>
        <rFont val="Calibri"/>
        <family val="2"/>
      </rPr>
      <t xml:space="preserve"> Total number of overnight campouts</t>
    </r>
  </si>
  <si>
    <r>
      <t xml:space="preserve"> </t>
    </r>
    <r>
      <rPr>
        <i/>
        <sz val="10"/>
        <color indexed="8"/>
        <rFont val="Calibri"/>
        <family val="2"/>
      </rPr>
      <t>Yes/No:</t>
    </r>
    <r>
      <rPr>
        <sz val="10"/>
        <color indexed="8"/>
        <rFont val="Calibri"/>
        <family val="2"/>
      </rPr>
      <t xml:space="preserve"> At least one project benefits the chartered organization</t>
    </r>
  </si>
  <si>
    <r>
      <rPr>
        <i/>
        <sz val="10"/>
        <color indexed="8"/>
        <rFont val="Calibri"/>
        <family val="2"/>
      </rPr>
      <t xml:space="preserve">    Date: </t>
    </r>
    <r>
      <rPr>
        <sz val="10"/>
        <color indexed="8"/>
        <rFont val="Calibri"/>
        <family val="2"/>
      </rPr>
      <t>Service project #4</t>
    </r>
    <r>
      <rPr>
        <sz val="11"/>
        <color indexed="8"/>
        <rFont val="Calibri"/>
        <family val="2"/>
      </rPr>
      <t/>
    </r>
  </si>
  <si>
    <r>
      <rPr>
        <i/>
        <sz val="10"/>
        <color indexed="8"/>
        <rFont val="Calibri"/>
        <family val="2"/>
      </rPr>
      <t xml:space="preserve">    Date: </t>
    </r>
    <r>
      <rPr>
        <sz val="10"/>
        <color indexed="8"/>
        <rFont val="Calibri"/>
        <family val="2"/>
      </rPr>
      <t>Service project #5</t>
    </r>
    <r>
      <rPr>
        <sz val="11"/>
        <color indexed="8"/>
        <rFont val="Calibri"/>
        <family val="2"/>
      </rPr>
      <t/>
    </r>
  </si>
  <si>
    <r>
      <t xml:space="preserve"> </t>
    </r>
    <r>
      <rPr>
        <i/>
        <sz val="10"/>
        <color indexed="8"/>
        <rFont val="Calibri"/>
        <family val="2"/>
      </rPr>
      <t>Yes/No:</t>
    </r>
    <r>
      <rPr>
        <sz val="10"/>
        <color indexed="8"/>
        <rFont val="Calibri"/>
        <family val="2"/>
      </rPr>
      <t xml:space="preserve"> Troop has a senior patrol leader</t>
    </r>
  </si>
  <si>
    <r>
      <t xml:space="preserve"> </t>
    </r>
    <r>
      <rPr>
        <i/>
        <sz val="10"/>
        <color indexed="8"/>
        <rFont val="Calibri"/>
        <family val="2"/>
      </rPr>
      <t>Yes/No:</t>
    </r>
    <r>
      <rPr>
        <sz val="10"/>
        <color indexed="8"/>
        <rFont val="Calibri"/>
        <family val="2"/>
      </rPr>
      <t xml:space="preserve"> Troop conducts patrol leader training</t>
    </r>
  </si>
  <si>
    <r>
      <rPr>
        <i/>
        <sz val="10"/>
        <color indexed="8"/>
        <rFont val="Calibri"/>
        <family val="2"/>
      </rPr>
      <t xml:space="preserve"> Count:</t>
    </r>
    <r>
      <rPr>
        <sz val="10"/>
        <color indexed="8"/>
        <rFont val="Calibri"/>
        <family val="2"/>
      </rPr>
      <t xml:space="preserve"> Number of patrols</t>
    </r>
  </si>
  <si>
    <r>
      <rPr>
        <i/>
        <sz val="10"/>
        <color indexed="8"/>
        <rFont val="Calibri"/>
        <family val="2"/>
      </rPr>
      <t xml:space="preserve"> Count:</t>
    </r>
    <r>
      <rPr>
        <sz val="10"/>
        <color indexed="8"/>
        <rFont val="Calibri"/>
        <family val="2"/>
      </rPr>
      <t xml:space="preserve"> Number of patrols with patrol leaders</t>
    </r>
  </si>
  <si>
    <r>
      <rPr>
        <i/>
        <sz val="10"/>
        <color indexed="8"/>
        <rFont val="Calibri"/>
        <family val="2"/>
      </rPr>
      <t xml:space="preserve">    Date:</t>
    </r>
    <r>
      <rPr>
        <sz val="10"/>
        <color indexed="8"/>
        <rFont val="Calibri"/>
        <family val="2"/>
      </rPr>
      <t xml:space="preserve"> Patrol leaders' council meeting #1</t>
    </r>
  </si>
  <si>
    <r>
      <rPr>
        <i/>
        <sz val="10"/>
        <color indexed="8"/>
        <rFont val="Calibri"/>
        <family val="2"/>
      </rPr>
      <t xml:space="preserve">    Date:</t>
    </r>
    <r>
      <rPr>
        <sz val="10"/>
        <color indexed="8"/>
        <rFont val="Calibri"/>
        <family val="2"/>
      </rPr>
      <t xml:space="preserve"> Patrol leaders' council meeting #2</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</si>
  <si>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#3</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</si>
  <si>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#4</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</si>
  <si>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#5</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</si>
  <si>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#6</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</si>
  <si>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#7</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</si>
  <si>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#8</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</si>
  <si>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#9</t>
    </r>
    <r>
      <rPr>
        <sz val="11"/>
        <color indexed="8"/>
        <rFont val="Calibri"/>
        <family val="2"/>
      </rPr>
      <t/>
    </r>
  </si>
  <si>
    <r>
      <rPr>
        <i/>
        <sz val="10"/>
        <color indexed="8"/>
        <rFont val="Calibri"/>
        <family val="2"/>
      </rPr>
      <t xml:space="preserve">    Date:</t>
    </r>
    <r>
      <rPr>
        <sz val="10"/>
        <color indexed="8"/>
        <rFont val="Calibri"/>
        <family val="2"/>
      </rPr>
      <t xml:space="preserve"> Patrol leaders' council meeting #10</t>
    </r>
    <r>
      <rPr>
        <sz val="11"/>
        <color indexed="8"/>
        <rFont val="Calibri"/>
        <family val="2"/>
      </rPr>
      <t/>
    </r>
  </si>
  <si>
    <r>
      <t xml:space="preserve"> </t>
    </r>
    <r>
      <rPr>
        <i/>
        <sz val="10"/>
        <color indexed="8"/>
        <rFont val="Calibri"/>
        <family val="2"/>
      </rPr>
      <t>Count:</t>
    </r>
    <r>
      <rPr>
        <sz val="10"/>
        <color indexed="8"/>
        <rFont val="Calibri"/>
        <family val="2"/>
      </rPr>
      <t xml:space="preserve"> Total number of patrol leaders' council meetings</t>
    </r>
  </si>
  <si>
    <r>
      <t xml:space="preserve"> </t>
    </r>
    <r>
      <rPr>
        <i/>
        <sz val="10"/>
        <color indexed="8"/>
        <rFont val="Calibri"/>
        <family val="2"/>
      </rPr>
      <t>Yes/No:</t>
    </r>
    <r>
      <rPr>
        <sz val="10"/>
        <color indexed="8"/>
        <rFont val="Calibri"/>
        <family val="2"/>
      </rPr>
      <t xml:space="preserve"> At least 1 Scout attended an advanced training course</t>
    </r>
  </si>
  <si>
    <r>
      <t xml:space="preserve"> </t>
    </r>
    <r>
      <rPr>
        <i/>
        <sz val="10"/>
        <color indexed="8"/>
        <rFont val="Calibri"/>
        <family val="2"/>
      </rPr>
      <t>Yes/No:</t>
    </r>
    <r>
      <rPr>
        <sz val="10"/>
        <color indexed="8"/>
        <rFont val="Calibri"/>
        <family val="2"/>
      </rPr>
      <t xml:space="preserve"> Registered Scoutmaster</t>
    </r>
  </si>
  <si>
    <r>
      <rPr>
        <i/>
        <sz val="10"/>
        <color indexed="8"/>
        <rFont val="Calibri"/>
        <family val="2"/>
      </rPr>
      <t xml:space="preserve">    Date:</t>
    </r>
    <r>
      <rPr>
        <sz val="10"/>
        <color indexed="8"/>
        <rFont val="Calibri"/>
        <family val="2"/>
      </rPr>
      <t xml:space="preserve"> Court of Honor #1</t>
    </r>
  </si>
  <si>
    <r>
      <rPr>
        <i/>
        <sz val="10"/>
        <color indexed="8"/>
        <rFont val="Calibri"/>
        <family val="2"/>
      </rPr>
      <t xml:space="preserve">    Date:</t>
    </r>
    <r>
      <rPr>
        <sz val="10"/>
        <color indexed="8"/>
        <rFont val="Calibri"/>
        <family val="2"/>
      </rPr>
      <t xml:space="preserve"> Court of Honor #2</t>
    </r>
    <r>
      <rPr>
        <sz val="11"/>
        <color indexed="8"/>
        <rFont val="Calibri"/>
        <family val="2"/>
      </rPr>
      <t/>
    </r>
  </si>
  <si>
    <r>
      <rPr>
        <i/>
        <sz val="10"/>
        <color indexed="8"/>
        <rFont val="Calibri"/>
        <family val="2"/>
      </rPr>
      <t xml:space="preserve">    Date:</t>
    </r>
    <r>
      <rPr>
        <sz val="10"/>
        <color indexed="8"/>
        <rFont val="Calibri"/>
        <family val="2"/>
      </rPr>
      <t xml:space="preserve"> Court of Honor #3</t>
    </r>
    <r>
      <rPr>
        <sz val="11"/>
        <color indexed="8"/>
        <rFont val="Calibri"/>
        <family val="2"/>
      </rPr>
      <t/>
    </r>
  </si>
  <si>
    <r>
      <rPr>
        <i/>
        <sz val="10"/>
        <color indexed="8"/>
        <rFont val="Calibri"/>
        <family val="2"/>
      </rPr>
      <t xml:space="preserve"> Count:</t>
    </r>
    <r>
      <rPr>
        <sz val="10"/>
        <color indexed="8"/>
        <rFont val="Calibri"/>
        <family val="2"/>
      </rPr>
      <t xml:space="preserve"> Number of courts of honor</t>
    </r>
  </si>
  <si>
    <r>
      <t xml:space="preserve"> Count: </t>
    </r>
    <r>
      <rPr>
        <sz val="10"/>
        <color indexed="8"/>
        <rFont val="Calibri"/>
        <family val="2"/>
      </rPr>
      <t>Number of committee members</t>
    </r>
  </si>
  <si>
    <r>
      <rPr>
        <i/>
        <sz val="10"/>
        <color indexed="8"/>
        <rFont val="Calibri"/>
        <family val="2"/>
      </rPr>
      <t xml:space="preserve"> Count:</t>
    </r>
    <r>
      <rPr>
        <sz val="10"/>
        <color indexed="8"/>
        <rFont val="Calibri"/>
        <family val="2"/>
      </rPr>
      <t xml:space="preserve"> Number assistant Scoutmasters</t>
    </r>
  </si>
  <si>
    <t>Enter Troop Number</t>
  </si>
  <si>
    <t>Enter Troop Information …</t>
  </si>
  <si>
    <t>Scoumaster ___________________________________________________</t>
  </si>
  <si>
    <t>Our troop has completed online rechartering by the deadline in order to maintain continuity of our program.</t>
  </si>
  <si>
    <r>
      <rPr>
        <i/>
        <sz val="10"/>
        <color indexed="8"/>
        <rFont val="Calibri"/>
        <family val="2"/>
      </rPr>
      <t xml:space="preserve"> Percent: </t>
    </r>
    <r>
      <rPr>
        <sz val="10"/>
        <color indexed="8"/>
        <rFont val="Calibri"/>
        <family val="2"/>
      </rPr>
      <t>Assistant Scoutmasters completing training</t>
    </r>
  </si>
  <si>
    <t>5.  Sheets are designed to be printed without additional formatting.</t>
  </si>
  <si>
    <t>This form should be turned in to your unit commissioner or the Scout service center as directed by your council.</t>
  </si>
  <si>
    <t>Charter Years and Calendar Years</t>
  </si>
  <si>
    <t>Reregister 75% of eligible members.</t>
  </si>
  <si>
    <t xml:space="preserve"> 40% of Boy Scouts advance one rank during the year.</t>
  </si>
  <si>
    <t xml:space="preserve"> 50% of Boy Scouts advance one rank during the year.</t>
  </si>
  <si>
    <t xml:space="preserve"> 60% of Boy Scouts advance one rank during the year.</t>
  </si>
  <si>
    <t xml:space="preserve">Scoutmaster or an assistant Scoutmaster has completed position-specific training. </t>
  </si>
  <si>
    <r>
      <rPr>
        <i/>
        <sz val="10"/>
        <color indexed="8"/>
        <rFont val="Calibri"/>
        <family val="2"/>
      </rPr>
      <t xml:space="preserve"> Percent: </t>
    </r>
    <r>
      <rPr>
        <sz val="10"/>
        <color indexed="8"/>
        <rFont val="Calibri"/>
        <family val="2"/>
      </rPr>
      <t>Growth over end of prior year</t>
    </r>
  </si>
  <si>
    <r>
      <rPr>
        <i/>
        <sz val="10"/>
        <color indexed="8"/>
        <rFont val="Calibri"/>
        <family val="2"/>
      </rPr>
      <t xml:space="preserve"> Count: </t>
    </r>
    <r>
      <rPr>
        <sz val="10"/>
        <color indexed="8"/>
        <rFont val="Calibri"/>
        <family val="2"/>
      </rPr>
      <t>Youth eligible to reregister</t>
    </r>
  </si>
  <si>
    <r>
      <t xml:space="preserve"> Percent: </t>
    </r>
    <r>
      <rPr>
        <sz val="10"/>
        <color indexed="8"/>
        <rFont val="Calibri"/>
        <family val="2"/>
      </rPr>
      <t>Retention rate</t>
    </r>
  </si>
  <si>
    <t>Select Recharter Date</t>
  </si>
  <si>
    <r>
      <rPr>
        <i/>
        <sz val="10"/>
        <color indexed="8"/>
        <rFont val="Calibri"/>
        <family val="2"/>
      </rPr>
      <t xml:space="preserve"> Percent:</t>
    </r>
    <r>
      <rPr>
        <sz val="10"/>
        <color indexed="8"/>
        <rFont val="Calibri"/>
        <family val="2"/>
      </rPr>
      <t xml:space="preserve"> Advancement rate</t>
    </r>
  </si>
  <si>
    <r>
      <rPr>
        <b/>
        <sz val="10"/>
        <color indexed="8"/>
        <rFont val="Calibri"/>
        <family val="2"/>
      </rPr>
      <t xml:space="preserve">Webelos-to-Scout transition:  </t>
    </r>
    <r>
      <rPr>
        <sz val="10"/>
        <color indexed="8"/>
        <rFont val="Calibri"/>
        <family val="2"/>
      </rPr>
      <t>Have an effective plan to recruit Webelos into the troop.</t>
    </r>
  </si>
  <si>
    <r>
      <rPr>
        <i/>
        <sz val="10"/>
        <color indexed="8"/>
        <rFont val="Calibri"/>
        <family val="2"/>
      </rPr>
      <t xml:space="preserve"> Yes/No:</t>
    </r>
    <r>
      <rPr>
        <sz val="10"/>
        <color indexed="8"/>
        <rFont val="Calibri"/>
        <family val="2"/>
      </rPr>
      <t xml:space="preserve"> Scoutmaster has completed position-specific training</t>
    </r>
  </si>
  <si>
    <r>
      <t xml:space="preserve"> </t>
    </r>
    <r>
      <rPr>
        <i/>
        <sz val="10"/>
        <color indexed="8"/>
        <rFont val="Calibri"/>
        <family val="2"/>
      </rPr>
      <t>Yes/No:</t>
    </r>
    <r>
      <rPr>
        <sz val="10"/>
        <color indexed="8"/>
        <rFont val="Calibri"/>
        <family val="2"/>
      </rPr>
      <t xml:space="preserve"> At least one person has attended advanced training</t>
    </r>
  </si>
  <si>
    <t>Have at least one registered assistant Scoutmaster.</t>
  </si>
  <si>
    <t>Achieve Silver, plus two-thirds of active committee members have completed position-specific training and at least one person has attended an advanced training course involving a total of least 5 days.</t>
  </si>
  <si>
    <r>
      <rPr>
        <b/>
        <sz val="10"/>
        <rFont val="Arial"/>
        <family val="2"/>
      </rPr>
      <t>Gold:</t>
    </r>
    <r>
      <rPr>
        <sz val="10"/>
        <rFont val="Arial"/>
        <family val="2"/>
      </rPr>
      <t xml:space="preserve">  Earn at least 1,000 points by earning points in at least 8 objectives and at least bronze in #6 or #7.</t>
    </r>
  </si>
  <si>
    <r>
      <rPr>
        <b/>
        <sz val="10"/>
        <rFont val="Calibri"/>
        <family val="2"/>
      </rPr>
      <t>Gold:</t>
    </r>
    <r>
      <rPr>
        <sz val="10"/>
        <rFont val="Calibri"/>
        <family val="2"/>
      </rPr>
      <t xml:space="preserve">  Earn at least 1,000 points by earning points in at least 8 objectives and at least bronze in #6 or #7.</t>
    </r>
  </si>
  <si>
    <t>"The BSA method for annual planning and continuous improvement"</t>
  </si>
  <si>
    <t>Achieve Bronze, plus troop conducts a planning meeting involving youth leaders for the following program year.</t>
  </si>
  <si>
    <t>Achieve Silver, plus troop committee meets at least six times during the year to review program plans and finances.</t>
  </si>
  <si>
    <r>
      <rPr>
        <b/>
        <sz val="10"/>
        <color indexed="8"/>
        <rFont val="Calibri"/>
        <family val="2"/>
      </rPr>
      <t xml:space="preserve">Building Scouting: </t>
    </r>
    <r>
      <rPr>
        <sz val="10"/>
        <color indexed="8"/>
        <rFont val="Calibri"/>
        <family val="2"/>
      </rPr>
      <t xml:space="preserve"> Recruit new youth into the troop in order to grow membership.</t>
    </r>
  </si>
  <si>
    <r>
      <rPr>
        <b/>
        <sz val="10"/>
        <color indexed="8"/>
        <rFont val="Calibri"/>
        <family val="2"/>
      </rPr>
      <t xml:space="preserve">Advancement:  </t>
    </r>
    <r>
      <rPr>
        <sz val="10"/>
        <color indexed="8"/>
        <rFont val="Calibri"/>
        <family val="2"/>
      </rPr>
      <t>Achieve a high percentage of Scouts earning ranks.</t>
    </r>
  </si>
  <si>
    <r>
      <rPr>
        <i/>
        <sz val="10"/>
        <color indexed="8"/>
        <rFont val="Calibri"/>
        <family val="2"/>
      </rPr>
      <t xml:space="preserve"> Count:</t>
    </r>
    <r>
      <rPr>
        <sz val="10"/>
        <color indexed="8"/>
        <rFont val="Calibri"/>
        <family val="2"/>
      </rPr>
      <t xml:space="preserve"> Scouts advancing one or more ranks during the year</t>
    </r>
  </si>
  <si>
    <r>
      <rPr>
        <i/>
        <sz val="10"/>
        <color indexed="8"/>
        <rFont val="Calibri"/>
        <family val="2"/>
      </rPr>
      <t xml:space="preserve"> Count:</t>
    </r>
    <r>
      <rPr>
        <sz val="10"/>
        <color indexed="8"/>
        <rFont val="Calibri"/>
        <family val="2"/>
      </rPr>
      <t xml:space="preserve"> Number of Scouts registered on June 30</t>
    </r>
  </si>
  <si>
    <r>
      <rPr>
        <i/>
        <sz val="10"/>
        <color indexed="8"/>
        <rFont val="Calibri"/>
        <family val="2"/>
      </rPr>
      <t xml:space="preserve"> Count:</t>
    </r>
    <r>
      <rPr>
        <sz val="10"/>
        <color indexed="8"/>
        <rFont val="Calibri"/>
        <family val="2"/>
      </rPr>
      <t xml:space="preserve"> Number of Scouts attending any long-term camp</t>
    </r>
  </si>
  <si>
    <r>
      <t xml:space="preserve">Building Scouting:  </t>
    </r>
    <r>
      <rPr>
        <sz val="10"/>
        <rFont val="Arial"/>
        <family val="2"/>
      </rPr>
      <t>Recruit new youth into the troop in order to grow membership.</t>
    </r>
  </si>
  <si>
    <t xml:space="preserve"> BeAScout Pin Current</t>
  </si>
  <si>
    <t>2021 Journey to Excellence Troop Spreadsheet</t>
  </si>
  <si>
    <t>1.  Spreadsheet is designed for all troops in the year ending December 31, 2021.</t>
  </si>
  <si>
    <t>4.  Except for rechartering, dates entered need to be in the range of January 1, 2021 through December 31, 2021.</t>
  </si>
  <si>
    <t>2021 Scouting's Journey to Excellence</t>
  </si>
  <si>
    <t>3.  Sources of data include unit records, numbers provided by your council and Scoutbook.</t>
  </si>
  <si>
    <t>A</t>
  </si>
  <si>
    <t>B</t>
  </si>
  <si>
    <t>D</t>
  </si>
  <si>
    <t>E</t>
  </si>
  <si>
    <r>
      <t xml:space="preserve"> </t>
    </r>
    <r>
      <rPr>
        <i/>
        <sz val="10"/>
        <color indexed="8"/>
        <rFont val="Calibri"/>
        <family val="2"/>
      </rPr>
      <t>Yes/No:</t>
    </r>
    <r>
      <rPr>
        <sz val="10"/>
        <color indexed="8"/>
        <rFont val="Calibri"/>
        <family val="2"/>
      </rPr>
      <t xml:space="preserve"> Troop records service projects and hours in Internet Advancement</t>
    </r>
  </si>
  <si>
    <t>H</t>
  </si>
  <si>
    <t>J</t>
  </si>
  <si>
    <t xml:space="preserve">    Less: Youth 18 years or older by end of charter year (age-outs)</t>
  </si>
  <si>
    <r>
      <t xml:space="preserve">  </t>
    </r>
    <r>
      <rPr>
        <i/>
        <sz val="10"/>
        <color indexed="8"/>
        <rFont val="Calibri"/>
        <family val="2"/>
      </rPr>
      <t xml:space="preserve"> Less: Youth dropped at this year's recharter</t>
    </r>
  </si>
  <si>
    <r>
      <rPr>
        <b/>
        <sz val="10"/>
        <rFont val="Calibri"/>
        <family val="2"/>
      </rPr>
      <t xml:space="preserve">Planning and Budget: </t>
    </r>
    <r>
      <rPr>
        <sz val="10"/>
        <rFont val="Calibri"/>
        <family val="2"/>
      </rPr>
      <t xml:space="preserve"> Have a program plan and budget that is regularly reviewed by the troop committee, and it follows BSA policies relating to fundraising. (Virtual/remote meetings are acceptable)</t>
    </r>
  </si>
  <si>
    <r>
      <rPr>
        <i/>
        <sz val="10"/>
        <rFont val="Calibri"/>
        <family val="2"/>
      </rPr>
      <t xml:space="preserve"> Date:</t>
    </r>
    <r>
      <rPr>
        <sz val="10"/>
        <rFont val="Calibri"/>
        <family val="2"/>
      </rPr>
      <t xml:space="preserve"> Joint activity with a pack or Webelos den #1 (Live or virtual)</t>
    </r>
  </si>
  <si>
    <r>
      <rPr>
        <i/>
        <sz val="10"/>
        <rFont val="Calibri"/>
        <family val="2"/>
      </rPr>
      <t xml:space="preserve"> Date:</t>
    </r>
    <r>
      <rPr>
        <sz val="10"/>
        <rFont val="Calibri"/>
        <family val="2"/>
      </rPr>
      <t xml:space="preserve"> Joint activity with a pack or Webelos den #2 (Live or virtual)</t>
    </r>
  </si>
  <si>
    <r>
      <rPr>
        <i/>
        <sz val="10"/>
        <rFont val="Calibri"/>
        <family val="2"/>
      </rPr>
      <t xml:space="preserve"> Date: </t>
    </r>
    <r>
      <rPr>
        <sz val="10"/>
        <rFont val="Calibri"/>
        <family val="2"/>
      </rPr>
      <t>Troop recruitment activity or personalized invitation</t>
    </r>
  </si>
  <si>
    <r>
      <rPr>
        <b/>
        <sz val="10"/>
        <rFont val="Calibri"/>
        <family val="2"/>
      </rPr>
      <t>Short-term camping:</t>
    </r>
    <r>
      <rPr>
        <sz val="10"/>
        <rFont val="Calibri"/>
        <family val="2"/>
      </rPr>
      <t xml:space="preserve">  Conduct short-term or weekend campouts throughout the year. (Alternative home-centered approaches may be used)</t>
    </r>
  </si>
  <si>
    <r>
      <rPr>
        <b/>
        <sz val="10"/>
        <rFont val="Calibri"/>
        <family val="2"/>
      </rPr>
      <t xml:space="preserve">Long-term camping: </t>
    </r>
    <r>
      <rPr>
        <sz val="10"/>
        <rFont val="Calibri"/>
        <family val="2"/>
      </rPr>
      <t xml:space="preserve"> Majority participate in a long-term camp. (Includes council-offered alternatives)</t>
    </r>
  </si>
  <si>
    <r>
      <rPr>
        <b/>
        <sz val="10"/>
        <rFont val="Calibri"/>
        <family val="2"/>
      </rPr>
      <t>Service projects:</t>
    </r>
    <r>
      <rPr>
        <sz val="10"/>
        <rFont val="Calibri"/>
        <family val="2"/>
      </rPr>
      <t xml:space="preserve">  Participate in service projects, with at least one benefiting the chartered organization. (Includes home engagements serving others)</t>
    </r>
  </si>
  <si>
    <r>
      <rPr>
        <b/>
        <sz val="10"/>
        <rFont val="Calibri"/>
        <family val="2"/>
      </rPr>
      <t xml:space="preserve">Patrol method:
</t>
    </r>
    <r>
      <rPr>
        <sz val="10"/>
        <rFont val="Calibri"/>
        <family val="2"/>
      </rPr>
      <t>Use the patrol method to develop youth leaders. (Virtual/remote meetings are acceptable)</t>
    </r>
  </si>
  <si>
    <r>
      <rPr>
        <b/>
        <sz val="10"/>
        <rFont val="Calibri"/>
        <family val="2"/>
      </rPr>
      <t xml:space="preserve">Leadership and family engagement: </t>
    </r>
    <r>
      <rPr>
        <sz val="10"/>
        <rFont val="Calibri"/>
        <family val="2"/>
      </rPr>
      <t>The troop is proactive in recruiting sufficient leaders and communicates regularly with parents. (Virtual/remote parents' meetings are acceptable)</t>
    </r>
  </si>
  <si>
    <r>
      <rPr>
        <b/>
        <sz val="10"/>
        <rFont val="Calibri"/>
        <family val="2"/>
      </rPr>
      <t>Trained leadership:</t>
    </r>
    <r>
      <rPr>
        <sz val="10"/>
        <rFont val="Calibri"/>
        <family val="2"/>
      </rPr>
      <t xml:space="preserve"> Have trained and engaged leaders at all levels.  All leaders are required to have youth protection training. (Online/remote training is acceptable except for Introduction to Outdoor Leader Skills.)</t>
    </r>
  </si>
  <si>
    <r>
      <t xml:space="preserve">Planning and budget: </t>
    </r>
    <r>
      <rPr>
        <sz val="10"/>
        <rFont val="Arial"/>
        <family val="2"/>
      </rPr>
      <t xml:space="preserve"> Have a program plan and budget that is regularly reviewed by the committee, and it follows BSA policies related to fundraising.</t>
    </r>
    <r>
      <rPr>
        <b/>
        <sz val="10"/>
        <rFont val="Arial"/>
        <family val="2"/>
      </rPr>
      <t xml:space="preserve"> </t>
    </r>
    <r>
      <rPr>
        <sz val="10"/>
        <rFont val="Arial"/>
        <family val="2"/>
      </rPr>
      <t>(Virtual/remote meetings are acceptable.)</t>
    </r>
  </si>
  <si>
    <t>Have a membership growth plan that includes a recruit-ment activity or use a personalized invitation method and have a current pin on beascout.org.</t>
  </si>
  <si>
    <t>Achieve Bronze, and either increase youth members or have at least 25 members.</t>
  </si>
  <si>
    <t>Achieve Silver, and either increase youth members by 5% or have at least 35 members.</t>
  </si>
  <si>
    <t>With a pack or Webelos den, hold two joint activities (live or virtual).</t>
  </si>
  <si>
    <r>
      <t xml:space="preserve">Short-term camping:  </t>
    </r>
    <r>
      <rPr>
        <sz val="10"/>
        <rFont val="Arial"/>
        <family val="2"/>
      </rPr>
      <t>Conduct short-term or weekend campouts throughout the year.</t>
    </r>
    <r>
      <rPr>
        <b/>
        <sz val="10"/>
        <rFont val="Arial"/>
        <family val="2"/>
      </rPr>
      <t xml:space="preserve"> </t>
    </r>
    <r>
      <rPr>
        <sz val="10"/>
        <rFont val="Arial"/>
        <family val="2"/>
      </rPr>
      <t>(Alternative home-centered approaches may be used.)</t>
    </r>
  </si>
  <si>
    <r>
      <t xml:space="preserve">Long-term camping:  </t>
    </r>
    <r>
      <rPr>
        <sz val="10"/>
        <rFont val="Arial"/>
        <family val="2"/>
      </rPr>
      <t>Participate in a long-term camp with a majority of the troop in attendance.</t>
    </r>
    <r>
      <rPr>
        <b/>
        <sz val="10"/>
        <rFont val="Arial"/>
        <family val="2"/>
      </rPr>
      <t xml:space="preserve"> </t>
    </r>
    <r>
      <rPr>
        <sz val="10"/>
        <rFont val="Arial"/>
        <family val="2"/>
      </rPr>
      <t>(Includes council-offered alternatives.)</t>
    </r>
  </si>
  <si>
    <r>
      <t xml:space="preserve">Service projects: </t>
    </r>
    <r>
      <rPr>
        <sz val="10"/>
        <rFont val="Arial"/>
        <family val="2"/>
      </rPr>
      <t xml:space="preserve"> Participate in service projects, with at least one benefiting the chartered organization.</t>
    </r>
    <r>
      <rPr>
        <b/>
        <sz val="10"/>
        <rFont val="Arial"/>
        <family val="2"/>
      </rPr>
      <t xml:space="preserve"> </t>
    </r>
    <r>
      <rPr>
        <sz val="10"/>
        <rFont val="Arial"/>
        <family val="2"/>
      </rPr>
      <t>(Includes home engagements serving others.)</t>
    </r>
  </si>
  <si>
    <r>
      <t xml:space="preserve">Patrol method: </t>
    </r>
    <r>
      <rPr>
        <sz val="10"/>
        <rFont val="Arial"/>
        <family val="2"/>
      </rPr>
      <t xml:space="preserve"> Use the patrol method to develop youth leaders. (Virtual/remote meetings are acceptable.)</t>
    </r>
  </si>
  <si>
    <r>
      <t xml:space="preserve">Leadership and family engagement: </t>
    </r>
    <r>
      <rPr>
        <sz val="10"/>
        <rFont val="Arial"/>
        <family val="2"/>
      </rPr>
      <t>The troop is proactive in recruiting sufficient leaders and communicates regularly with parents. (Virtual/remote parents' meetings are acceptable.)</t>
    </r>
  </si>
  <si>
    <r>
      <t xml:space="preserve">Trained leadership: </t>
    </r>
    <r>
      <rPr>
        <sz val="10"/>
        <rFont val="Arial"/>
        <family val="2"/>
      </rPr>
      <t>Have trained and engaged leaders at all levels.  All leaders are required to have youth protection training. (Online/remote training is acceptable, except for Introduction to Outdoor Leader Skills.)</t>
    </r>
  </si>
  <si>
    <r>
      <t xml:space="preserve"> Check if any formal transfers </t>
    </r>
    <r>
      <rPr>
        <b/>
        <sz val="10"/>
        <color theme="1"/>
        <rFont val="Calibri"/>
        <family val="2"/>
      </rPr>
      <t>in or out</t>
    </r>
    <r>
      <rPr>
        <sz val="10"/>
        <color theme="1"/>
        <rFont val="Calibri"/>
        <family val="2"/>
      </rPr>
      <t xml:space="preserve"> of your Unit (Except Webelos Scouts coming in)</t>
    </r>
  </si>
  <si>
    <r>
      <rPr>
        <i/>
        <sz val="10"/>
        <color indexed="8"/>
        <rFont val="Calibri"/>
        <family val="2"/>
      </rPr>
      <t xml:space="preserve"> Count:</t>
    </r>
    <r>
      <rPr>
        <sz val="10"/>
        <color indexed="8"/>
        <rFont val="Calibri"/>
        <family val="2"/>
      </rPr>
      <t xml:space="preserve"> Current membership as of 12/31/2021</t>
    </r>
  </si>
  <si>
    <r>
      <t xml:space="preserve">    Plus: New Scouts joining </t>
    </r>
    <r>
      <rPr>
        <b/>
        <i/>
        <sz val="10"/>
        <color rgb="FFFF0000"/>
        <rFont val="Calibri"/>
        <family val="2"/>
      </rPr>
      <t>during the charter year</t>
    </r>
  </si>
  <si>
    <t>K</t>
  </si>
  <si>
    <t>G</t>
  </si>
  <si>
    <t>C</t>
  </si>
  <si>
    <r>
      <rPr>
        <i/>
        <sz val="10"/>
        <rFont val="Calibri"/>
        <family val="2"/>
      </rPr>
      <t xml:space="preserve"> Count:</t>
    </r>
    <r>
      <rPr>
        <sz val="10"/>
        <rFont val="Calibri"/>
        <family val="2"/>
      </rPr>
      <t xml:space="preserve"> Webelos/AoLs joining the troop during the year</t>
    </r>
  </si>
  <si>
    <t xml:space="preserve">    Plus: Webelos/AoLs transfers from packs during the year</t>
  </si>
  <si>
    <t xml:space="preserve">Most criteria will be measured for the calendar year.  For troops that recharter in December, the retention numbers will be determined from the number of youth who are reregistered from the charter expiring on 12/31/21.  However, if a unit recharters on another month, retention will be determined at that time, consistent with its charter cycle.
Journey to Excellence measures are not intended to be cumbersome for any unit.  A troop may want to track and record meetings and othe functions throughout the year, rather than trying to tabulate everything at the end.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</si>
</sst>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m/d/yy;@"/>
    <numFmt numFmtId="165" formatCode="0.0%"/>
    <numFmt numFmtId="166" formatCode="0.0%;[Red]\-0.0%"/>
    <numFmt numFmtId="167" formatCode="[$-409]mmmm\ d\,\ yyyy;@"/>
  </numFmts>
  <fonts count="43" x14ac:knownFonts="1">
    <font>
      <sz val="11"/>
      <color theme="1"/>
      <name val="Calibri"/>
      <family val="2"/>
    </font>
    <font>
      <sz val="11"/>
      <color indexed="8"/>
      <name val="Calibri"/>
      <family val="2"/>
    </font>
    <font>
      <sz val="10"/>
      <color indexed="8"/>
      <name val="Calibri"/>
      <family val="2"/>
    </font>
    <font>
      <b/>
      <sz val="10"/>
      <color indexed="8"/>
      <name val="Calibri"/>
      <family val="2"/>
    </font>
    <font>
      <sz val="11"/>
      <name val="Calibri"/>
      <family val="2"/>
    </font>
    <font>
      <b/>
      <sz val="10"/>
      <name val="Calibri"/>
      <family val="2"/>
    </font>
    <font>
      <i/>
      <sz val="10"/>
      <color indexed="8"/>
      <name val="Calibri"/>
      <family val="2"/>
    </font>
    <font>
      <sz val="10"/>
      <name val="Calibri"/>
      <family val="2"/>
    </font>
    <font>
      <b/>
      <sz val="12"/>
      <name val="Wingdings"/>
      <charset val="2"/>
    </font>
    <font>
      <sz val="10"/>
      <name val="Arial"/>
      <family val="2"/>
    </font>
    <font>
      <sz val="18"/>
      <name val="Arial"/>
      <family val="2"/>
    </font>
    <font>
      <b/>
      <sz val="10"/>
      <name val="Arial"/>
      <family val="2"/>
    </font>
    <font>
      <b/>
      <sz val="11"/>
      <color indexed="9"/>
      <name val="Arial"/>
      <family val="2"/>
    </font>
    <font>
      <b/>
      <sz val="12"/>
      <color indexed="9"/>
      <name val="Arial"/>
      <family val="2"/>
    </font>
    <font>
      <b/>
      <sz val="12"/>
      <name val="Arial"/>
      <family val="2"/>
    </font>
    <font>
      <b/>
      <sz val="15"/>
      <name val="Wingdings"/>
      <charset val="2"/>
    </font>
    <font>
      <b/>
      <sz val="15"/>
      <name val="Arial"/>
      <family val="2"/>
    </font>
    <font>
      <i/>
      <sz val="10"/>
      <name val="Arial"/>
      <family val="2"/>
    </font>
    <font>
      <sz val="10"/>
      <name val="Arial"/>
      <family val="2"/>
    </font>
    <font>
      <sz val="11"/>
      <color theme="0"/>
      <name val="Calibri"/>
      <family val="2"/>
    </font>
    <font>
      <b/>
      <sz val="11"/>
      <color theme="1"/>
      <name val="Calibri"/>
      <family val="2"/>
    </font>
    <font>
      <sz val="10"/>
      <color theme="1"/>
      <name val="Calibri"/>
      <family val="2"/>
    </font>
    <font>
      <i/>
      <sz val="10"/>
      <color theme="1"/>
      <name val="Calibri"/>
      <family val="2"/>
    </font>
    <font>
      <sz val="10"/>
      <color theme="0"/>
      <name val="Calibri"/>
      <family val="2"/>
    </font>
    <font>
      <sz val="10"/>
      <name val="Calibri"/>
      <family val="2"/>
      <scheme val="minor"/>
    </font>
    <font>
      <sz val="10"/>
      <color theme="0"/>
      <name val="Calibri"/>
      <family val="2"/>
      <scheme val="minor"/>
    </font>
    <font>
      <b/>
      <sz val="10"/>
      <name val="Calibri"/>
      <family val="2"/>
      <scheme val="minor"/>
    </font>
    <font>
      <b/>
      <sz val="11"/>
      <name val="Calibri"/>
      <family val="2"/>
      <scheme val="minor"/>
    </font>
    <font>
      <sz val="11"/>
      <color theme="1"/>
      <name val="Calibri"/>
      <family val="2"/>
      <scheme val="minor"/>
    </font>
    <font>
      <sz val="16.5"/>
      <color rgb="FF000000"/>
      <name val="Wingdings"/>
      <charset val="2"/>
    </font>
    <font>
      <b/>
      <sz val="14"/>
      <color theme="1"/>
      <name val="Calibri"/>
      <family val="2"/>
    </font>
    <font>
      <b/>
      <i/>
      <sz val="12"/>
      <color theme="1"/>
      <name val="Calibri"/>
      <family val="2"/>
    </font>
    <font>
      <b/>
      <sz val="10"/>
      <color rgb="FFFF0000"/>
      <name val="Arial"/>
      <family val="2"/>
    </font>
    <font>
      <b/>
      <sz val="10"/>
      <color theme="0"/>
      <name val="Calibri"/>
      <family val="2"/>
    </font>
    <font>
      <b/>
      <sz val="10"/>
      <color theme="1"/>
      <name val="Calibri"/>
      <family val="2"/>
    </font>
    <font>
      <b/>
      <sz val="12"/>
      <color theme="1"/>
      <name val="Calibri"/>
      <family val="2"/>
    </font>
    <font>
      <b/>
      <i/>
      <sz val="14"/>
      <color rgb="FFC00000"/>
      <name val="Arial Black"/>
      <family val="2"/>
    </font>
    <font>
      <i/>
      <sz val="18"/>
      <color rgb="FFC00000"/>
      <name val="Arial Black"/>
      <family val="2"/>
    </font>
    <font>
      <i/>
      <sz val="16"/>
      <color rgb="FFC00000"/>
      <name val="Arial Black"/>
      <family val="2"/>
    </font>
    <font>
      <sz val="8"/>
      <color rgb="FF000000"/>
      <name val="Segoe UI"/>
      <family val="2"/>
    </font>
    <font>
      <sz val="8"/>
      <color rgb="FF000000"/>
      <name val="Tahoma"/>
      <family val="2"/>
    </font>
    <font>
      <i/>
      <sz val="10"/>
      <name val="Calibri"/>
      <family val="2"/>
    </font>
    <font>
      <b/>
      <i/>
      <sz val="10"/>
      <color rgb="FFFF0000"/>
      <name val="Calibri"/>
      <family val="2"/>
    </font>
  </fonts>
  <fills count="5">
    <fill>
      <patternFill patternType="none"/>
    </fill>
    <fill>
      <patternFill patternType="gray125"/>
    </fill>
    <fill>
      <patternFill patternType="solid">
        <fgColor rgb="FFC00000"/>
        <bgColor indexed="64"/>
      </patternFill>
    </fill>
    <fill>
      <patternFill patternType="solid">
        <fgColor theme="5" tint="0.59999389629810485"/>
        <bgColor indexed="64"/>
      </patternFill>
    </fill>
    <fill>
      <patternFill patternType="solid">
        <fgColor rgb="FFFF0000"/>
        <bgColor indexed="64"/>
      </patternFill>
    </fill>
  </fills>
  <borders count="3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9"/>
      </left>
      <right style="medium">
        <color indexed="64"/>
      </right>
      <top style="medium">
        <color indexed="64"/>
      </top>
      <bottom style="medium">
        <color indexed="9"/>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9"/>
      </right>
      <top style="medium">
        <color indexed="64"/>
      </top>
      <bottom/>
      <diagonal/>
    </border>
    <border>
      <left style="medium">
        <color indexed="64"/>
      </left>
      <right style="medium">
        <color indexed="9"/>
      </right>
      <top/>
      <bottom style="thin">
        <color indexed="64"/>
      </bottom>
      <diagonal/>
    </border>
  </borders>
  <cellStyleXfs count="4">
    <xf numFmtId="0" fontId="0" fillId="0" borderId="0"/>
    <xf numFmtId="0" fontId="9" fillId="0" borderId="0"/>
    <xf numFmtId="0" fontId="18" fillId="0" borderId="0"/>
    <xf numFmtId="9" fontId="9" fillId="0" borderId="0" applyFont="0" applyFill="0" applyBorder="0" applyAlignment="0" applyProtection="0"/>
  </cellStyleXfs>
  <cellXfs count="177">
    <xf numFmtId="0" fontId="0" fillId="0" borderId="0" xfId="0"/>
    <xf numFmtId="164" fontId="21" fillId="0" borderId="1" xfId="0" applyNumberFormat="1" applyFont="1" applyBorder="1" applyAlignment="1" applyProtection="1">
      <alignment horizontal="center" vertical="center"/>
      <protection locked="0"/>
    </xf>
    <xf numFmtId="3" fontId="21" fillId="0" borderId="1" xfId="0" applyNumberFormat="1" applyFont="1" applyBorder="1" applyAlignment="1" applyProtection="1">
      <alignment horizontal="center" vertical="center"/>
      <protection locked="0"/>
    </xf>
    <xf numFmtId="0" fontId="4" fillId="0" borderId="0" xfId="0" applyFont="1" applyProtection="1"/>
    <xf numFmtId="0" fontId="0" fillId="0" borderId="0" xfId="0" applyProtection="1"/>
    <xf numFmtId="0" fontId="7" fillId="0" borderId="0" xfId="0" applyFont="1" applyProtection="1"/>
    <xf numFmtId="0" fontId="21" fillId="0" borderId="0" xfId="0" applyFont="1" applyProtection="1"/>
    <xf numFmtId="0" fontId="22" fillId="0" borderId="0" xfId="0" applyFont="1" applyProtection="1"/>
    <xf numFmtId="0" fontId="0" fillId="0" borderId="2" xfId="0" applyBorder="1" applyProtection="1"/>
    <xf numFmtId="0" fontId="0" fillId="0" borderId="3" xfId="0" applyBorder="1" applyProtection="1"/>
    <xf numFmtId="0" fontId="4" fillId="0" borderId="4" xfId="0" applyFont="1" applyBorder="1" applyProtection="1"/>
    <xf numFmtId="0" fontId="21" fillId="0" borderId="5" xfId="0" applyFont="1" applyBorder="1" applyProtection="1"/>
    <xf numFmtId="0" fontId="21" fillId="0" borderId="0" xfId="0" applyFont="1" applyBorder="1" applyProtection="1"/>
    <xf numFmtId="0" fontId="19" fillId="0" borderId="6" xfId="0" applyFont="1" applyBorder="1" applyProtection="1"/>
    <xf numFmtId="0" fontId="21" fillId="0" borderId="0" xfId="0" applyFont="1" applyBorder="1" applyAlignment="1" applyProtection="1">
      <alignment horizontal="center" vertical="center"/>
    </xf>
    <xf numFmtId="1" fontId="21" fillId="0" borderId="1" xfId="0" applyNumberFormat="1" applyFont="1" applyBorder="1" applyAlignment="1" applyProtection="1">
      <alignment horizontal="center" vertical="center"/>
    </xf>
    <xf numFmtId="0" fontId="0" fillId="0" borderId="7" xfId="0" applyBorder="1" applyProtection="1"/>
    <xf numFmtId="0" fontId="0" fillId="0" borderId="8" xfId="0" applyBorder="1" applyProtection="1"/>
    <xf numFmtId="0" fontId="19" fillId="0" borderId="9" xfId="0" applyFont="1" applyBorder="1" applyProtection="1"/>
    <xf numFmtId="0" fontId="0" fillId="0" borderId="0" xfId="0" applyBorder="1" applyProtection="1"/>
    <xf numFmtId="0" fontId="4" fillId="0" borderId="6" xfId="0" applyFont="1" applyBorder="1" applyProtection="1"/>
    <xf numFmtId="3" fontId="21" fillId="0" borderId="1" xfId="0" applyNumberFormat="1" applyFont="1" applyBorder="1" applyAlignment="1" applyProtection="1">
      <alignment horizontal="center" vertical="center"/>
    </xf>
    <xf numFmtId="166" fontId="21" fillId="0" borderId="1" xfId="0" applyNumberFormat="1" applyFont="1" applyBorder="1" applyAlignment="1" applyProtection="1">
      <alignment horizontal="center" vertical="center"/>
    </xf>
    <xf numFmtId="0" fontId="2" fillId="0" borderId="5" xfId="0" applyFont="1" applyBorder="1" applyAlignment="1" applyProtection="1"/>
    <xf numFmtId="165" fontId="21" fillId="0" borderId="1" xfId="0" applyNumberFormat="1" applyFont="1" applyBorder="1" applyAlignment="1" applyProtection="1">
      <alignment horizontal="center"/>
    </xf>
    <xf numFmtId="0" fontId="21" fillId="0" borderId="0" xfId="0" applyFont="1" applyBorder="1" applyAlignment="1" applyProtection="1"/>
    <xf numFmtId="0" fontId="19" fillId="0" borderId="6" xfId="0" applyFont="1" applyBorder="1" applyAlignment="1" applyProtection="1"/>
    <xf numFmtId="0" fontId="0" fillId="0" borderId="0" xfId="0" applyAlignment="1" applyProtection="1"/>
    <xf numFmtId="0" fontId="21" fillId="0" borderId="0" xfId="0" applyFont="1" applyAlignment="1" applyProtection="1"/>
    <xf numFmtId="0" fontId="21" fillId="0" borderId="0" xfId="0" applyFont="1" applyBorder="1" applyAlignment="1" applyProtection="1">
      <alignment horizontal="center"/>
    </xf>
    <xf numFmtId="0" fontId="22" fillId="0" borderId="0" xfId="0" applyFont="1" applyAlignment="1" applyProtection="1"/>
    <xf numFmtId="0" fontId="2" fillId="0" borderId="0" xfId="0" applyFont="1" applyAlignment="1" applyProtection="1"/>
    <xf numFmtId="1" fontId="21" fillId="0" borderId="0" xfId="0" applyNumberFormat="1" applyFont="1" applyBorder="1" applyAlignment="1" applyProtection="1">
      <alignment horizontal="center"/>
    </xf>
    <xf numFmtId="0" fontId="23" fillId="0" borderId="0" xfId="0" applyFont="1" applyBorder="1" applyProtection="1"/>
    <xf numFmtId="0" fontId="2" fillId="0" borderId="5" xfId="0" applyFont="1" applyBorder="1" applyProtection="1"/>
    <xf numFmtId="0" fontId="19" fillId="0" borderId="0" xfId="0" applyFont="1" applyBorder="1" applyProtection="1"/>
    <xf numFmtId="0" fontId="21" fillId="0" borderId="10" xfId="0" applyFont="1" applyBorder="1" applyAlignment="1" applyProtection="1">
      <alignment horizontal="center" vertical="center"/>
    </xf>
    <xf numFmtId="0" fontId="19" fillId="0" borderId="0" xfId="0" applyFont="1" applyProtection="1"/>
    <xf numFmtId="0" fontId="8" fillId="0" borderId="0" xfId="0" applyFont="1" applyAlignment="1" applyProtection="1">
      <alignment horizontal="left" vertical="center" wrapText="1"/>
    </xf>
    <xf numFmtId="0" fontId="24" fillId="0" borderId="0" xfId="0" applyFont="1" applyAlignment="1" applyProtection="1">
      <alignment horizontal="left" vertical="center"/>
    </xf>
    <xf numFmtId="0" fontId="24" fillId="0" borderId="0" xfId="0" applyFont="1" applyAlignment="1" applyProtection="1">
      <alignment horizontal="left" vertical="center" wrapText="1"/>
    </xf>
    <xf numFmtId="0" fontId="25" fillId="0" borderId="0" xfId="0" applyFont="1" applyAlignment="1" applyProtection="1">
      <alignment horizontal="center" wrapText="1"/>
    </xf>
    <xf numFmtId="0" fontId="26" fillId="0" borderId="0" xfId="0" applyFont="1" applyAlignment="1" applyProtection="1">
      <alignment horizontal="left"/>
    </xf>
    <xf numFmtId="3" fontId="27" fillId="0" borderId="8" xfId="0" applyNumberFormat="1" applyFont="1" applyBorder="1" applyAlignment="1" applyProtection="1">
      <alignment horizontal="center" wrapText="1"/>
    </xf>
    <xf numFmtId="0" fontId="24" fillId="0" borderId="0" xfId="0" applyFont="1" applyAlignment="1" applyProtection="1">
      <alignment horizontal="center" wrapText="1"/>
    </xf>
    <xf numFmtId="0" fontId="24" fillId="0" borderId="0" xfId="0" applyFont="1" applyAlignment="1" applyProtection="1">
      <alignment wrapText="1"/>
    </xf>
    <xf numFmtId="0" fontId="25" fillId="0" borderId="0" xfId="0" applyFont="1" applyAlignment="1" applyProtection="1">
      <alignment wrapText="1"/>
    </xf>
    <xf numFmtId="0" fontId="28" fillId="0" borderId="0" xfId="0" applyFont="1" applyProtection="1"/>
    <xf numFmtId="0" fontId="27" fillId="0" borderId="8" xfId="0" applyFont="1" applyBorder="1" applyAlignment="1" applyProtection="1">
      <alignment horizontal="center" wrapText="1"/>
    </xf>
    <xf numFmtId="0" fontId="29" fillId="0" borderId="0" xfId="0" applyFont="1" applyProtection="1"/>
    <xf numFmtId="0" fontId="0" fillId="0" borderId="0" xfId="0" applyAlignment="1" applyProtection="1">
      <alignment horizontal="center"/>
    </xf>
    <xf numFmtId="0" fontId="30" fillId="0" borderId="0" xfId="0" applyFont="1" applyAlignment="1" applyProtection="1">
      <alignment horizontal="center"/>
    </xf>
    <xf numFmtId="0" fontId="31" fillId="0" borderId="0" xfId="0" applyFont="1" applyAlignment="1" applyProtection="1">
      <alignment horizontal="left"/>
    </xf>
    <xf numFmtId="0" fontId="10" fillId="0" borderId="0" xfId="2" applyFont="1" applyAlignment="1" applyProtection="1">
      <alignment wrapText="1"/>
    </xf>
    <xf numFmtId="0" fontId="9" fillId="0" borderId="0" xfId="2" applyFont="1" applyAlignment="1" applyProtection="1">
      <alignment wrapText="1"/>
    </xf>
    <xf numFmtId="0" fontId="11" fillId="0" borderId="0" xfId="2" applyFont="1" applyAlignment="1" applyProtection="1">
      <alignment horizontal="center" vertical="center" wrapText="1"/>
    </xf>
    <xf numFmtId="0" fontId="9" fillId="0" borderId="0" xfId="2" applyFont="1" applyAlignment="1" applyProtection="1">
      <alignment horizontal="center" wrapText="1"/>
    </xf>
    <xf numFmtId="0" fontId="9" fillId="0" borderId="11" xfId="2" applyFont="1" applyFill="1" applyBorder="1" applyAlignment="1" applyProtection="1">
      <alignment horizontal="center" vertical="center" wrapText="1"/>
    </xf>
    <xf numFmtId="0" fontId="9" fillId="0" borderId="12" xfId="2" applyFont="1" applyFill="1" applyBorder="1" applyAlignment="1" applyProtection="1">
      <alignment horizontal="center" vertical="center" wrapText="1"/>
    </xf>
    <xf numFmtId="0" fontId="9" fillId="0" borderId="13" xfId="2" applyFont="1" applyFill="1" applyBorder="1" applyAlignment="1" applyProtection="1">
      <alignment horizontal="center" vertical="center" wrapText="1"/>
    </xf>
    <xf numFmtId="0" fontId="9" fillId="0" borderId="14" xfId="2" applyFont="1" applyFill="1" applyBorder="1" applyAlignment="1" applyProtection="1">
      <alignment horizontal="center" vertical="center" wrapText="1"/>
    </xf>
    <xf numFmtId="0" fontId="9" fillId="0" borderId="0" xfId="2" applyFont="1" applyBorder="1" applyAlignment="1" applyProtection="1">
      <alignment horizontal="right" vertical="center" wrapText="1"/>
    </xf>
    <xf numFmtId="0" fontId="9" fillId="0" borderId="0" xfId="2" applyFont="1" applyBorder="1" applyAlignment="1" applyProtection="1">
      <alignment wrapText="1"/>
    </xf>
    <xf numFmtId="0" fontId="15" fillId="0" borderId="0" xfId="1" applyFont="1" applyAlignment="1" applyProtection="1">
      <alignment horizontal="center" vertical="center" wrapText="1"/>
    </xf>
    <xf numFmtId="0" fontId="9" fillId="0" borderId="0" xfId="2" applyFont="1" applyAlignment="1" applyProtection="1">
      <alignment horizontal="left" vertical="center"/>
    </xf>
    <xf numFmtId="0" fontId="9" fillId="0" borderId="0" xfId="2" applyFont="1" applyAlignment="1" applyProtection="1">
      <alignment horizontal="left" vertical="center" wrapText="1"/>
    </xf>
    <xf numFmtId="0" fontId="11" fillId="0" borderId="0" xfId="2" applyFont="1" applyAlignment="1" applyProtection="1">
      <alignment horizontal="left"/>
    </xf>
    <xf numFmtId="3" fontId="11" fillId="0" borderId="8" xfId="1" applyNumberFormat="1" applyFont="1" applyBorder="1" applyAlignment="1" applyProtection="1">
      <alignment horizontal="center" wrapText="1"/>
    </xf>
    <xf numFmtId="0" fontId="11" fillId="0" borderId="8" xfId="1" applyFont="1" applyBorder="1" applyAlignment="1" applyProtection="1">
      <alignment horizontal="center" wrapText="1"/>
    </xf>
    <xf numFmtId="0" fontId="16" fillId="0" borderId="0" xfId="2" applyFont="1" applyAlignment="1" applyProtection="1">
      <alignment horizontal="center" vertical="center" wrapText="1"/>
    </xf>
    <xf numFmtId="0" fontId="15" fillId="0" borderId="0" xfId="2" applyFont="1" applyAlignment="1" applyProtection="1">
      <alignment horizontal="center" vertical="center" wrapText="1"/>
    </xf>
    <xf numFmtId="0" fontId="17" fillId="0" borderId="0" xfId="2" applyFont="1" applyAlignment="1" applyProtection="1">
      <alignment horizontal="left" vertical="center"/>
    </xf>
    <xf numFmtId="0" fontId="17" fillId="0" borderId="0" xfId="2" applyFont="1" applyAlignment="1" applyProtection="1">
      <alignment vertical="center"/>
    </xf>
    <xf numFmtId="0" fontId="9" fillId="0" borderId="0" xfId="2" applyFont="1" applyAlignment="1" applyProtection="1"/>
    <xf numFmtId="0" fontId="17" fillId="0" borderId="0" xfId="2" applyFont="1" applyAlignment="1" applyProtection="1"/>
    <xf numFmtId="0" fontId="32" fillId="0" borderId="0" xfId="2" applyFont="1" applyAlignment="1" applyProtection="1">
      <alignment wrapText="1"/>
    </xf>
    <xf numFmtId="0" fontId="2" fillId="0" borderId="0" xfId="0" applyFont="1" applyProtection="1"/>
    <xf numFmtId="0" fontId="0" fillId="0" borderId="0" xfId="0" applyAlignment="1" applyProtection="1">
      <alignment wrapText="1"/>
    </xf>
    <xf numFmtId="0" fontId="31" fillId="0" borderId="0" xfId="0" applyFont="1" applyProtection="1"/>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Fill="1" applyBorder="1" applyAlignment="1">
      <alignment horizontal="left" vertical="center" wrapText="1"/>
    </xf>
    <xf numFmtId="9" fontId="9" fillId="0" borderId="11" xfId="0" applyNumberFormat="1"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0" borderId="18" xfId="0" applyFont="1" applyBorder="1" applyAlignment="1">
      <alignment vertical="center" wrapText="1"/>
    </xf>
    <xf numFmtId="0" fontId="9" fillId="0" borderId="11" xfId="0" applyFont="1" applyFill="1" applyBorder="1" applyAlignment="1">
      <alignment horizontal="center" vertical="center" wrapText="1"/>
    </xf>
    <xf numFmtId="165" fontId="11" fillId="0" borderId="18" xfId="3" applyNumberFormat="1"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20" xfId="0" applyFont="1" applyFill="1" applyBorder="1" applyAlignment="1">
      <alignment vertical="center" wrapText="1"/>
    </xf>
    <xf numFmtId="0" fontId="11" fillId="0" borderId="21" xfId="0" applyFont="1" applyBorder="1" applyAlignment="1">
      <alignment horizontal="center" vertical="center" wrapText="1"/>
    </xf>
    <xf numFmtId="0" fontId="11" fillId="0" borderId="22" xfId="0" applyFont="1" applyFill="1" applyBorder="1" applyAlignment="1">
      <alignment horizontal="left" vertical="center" wrapText="1"/>
    </xf>
    <xf numFmtId="0" fontId="9" fillId="0" borderId="13" xfId="0" applyFont="1" applyFill="1" applyBorder="1" applyAlignment="1">
      <alignment horizontal="center" vertical="center" wrapText="1"/>
    </xf>
    <xf numFmtId="9" fontId="9" fillId="0" borderId="13" xfId="0" applyNumberFormat="1" applyFont="1" applyFill="1" applyBorder="1" applyAlignment="1">
      <alignment horizontal="center" vertical="center" wrapText="1"/>
    </xf>
    <xf numFmtId="0" fontId="12" fillId="2" borderId="16" xfId="2" applyFont="1" applyFill="1" applyBorder="1" applyAlignment="1" applyProtection="1">
      <alignment horizontal="center" vertical="center" wrapText="1"/>
    </xf>
    <xf numFmtId="0" fontId="12" fillId="2" borderId="23" xfId="2" applyFont="1" applyFill="1" applyBorder="1" applyAlignment="1" applyProtection="1">
      <alignment horizontal="center" vertical="center" wrapText="1"/>
    </xf>
    <xf numFmtId="0" fontId="13" fillId="2" borderId="6" xfId="2" applyFont="1" applyFill="1" applyBorder="1" applyAlignment="1" applyProtection="1">
      <alignment horizontal="center" vertical="center" wrapText="1"/>
    </xf>
    <xf numFmtId="3" fontId="13" fillId="2" borderId="6" xfId="2" applyNumberFormat="1" applyFont="1" applyFill="1" applyBorder="1" applyAlignment="1" applyProtection="1">
      <alignment horizontal="center" vertical="center" wrapText="1"/>
    </xf>
    <xf numFmtId="0" fontId="33" fillId="2" borderId="24" xfId="0" applyFont="1" applyFill="1" applyBorder="1" applyAlignment="1" applyProtection="1">
      <alignment horizontal="center" wrapText="1"/>
    </xf>
    <xf numFmtId="0" fontId="33" fillId="2" borderId="24" xfId="0" applyFont="1" applyFill="1" applyBorder="1" applyAlignment="1" applyProtection="1">
      <alignment horizontal="center" vertical="center"/>
    </xf>
    <xf numFmtId="0" fontId="33" fillId="2" borderId="25" xfId="0" applyFont="1" applyFill="1" applyBorder="1" applyAlignment="1" applyProtection="1">
      <alignment horizontal="center" vertical="center"/>
    </xf>
    <xf numFmtId="0" fontId="33" fillId="2" borderId="26" xfId="0" applyFont="1" applyFill="1" applyBorder="1" applyAlignment="1" applyProtection="1">
      <alignment horizontal="center" vertical="center" wrapText="1"/>
    </xf>
    <xf numFmtId="0" fontId="33" fillId="2" borderId="26" xfId="0" applyFont="1" applyFill="1" applyBorder="1" applyProtection="1"/>
    <xf numFmtId="0" fontId="5" fillId="2" borderId="27" xfId="0" applyFont="1" applyFill="1" applyBorder="1" applyProtection="1"/>
    <xf numFmtId="0" fontId="20" fillId="2" borderId="25" xfId="0" applyFont="1" applyFill="1" applyBorder="1" applyAlignment="1" applyProtection="1">
      <alignment horizontal="center" vertical="center"/>
    </xf>
    <xf numFmtId="0" fontId="33" fillId="2" borderId="26" xfId="0" applyFont="1" applyFill="1" applyBorder="1" applyAlignment="1" applyProtection="1">
      <alignment horizontal="center" vertical="center"/>
    </xf>
    <xf numFmtId="0" fontId="20" fillId="2" borderId="26" xfId="0" applyFont="1" applyFill="1" applyBorder="1" applyAlignment="1" applyProtection="1">
      <alignment horizontal="center" vertical="center"/>
    </xf>
    <xf numFmtId="0" fontId="20" fillId="2" borderId="27" xfId="0" applyFont="1" applyFill="1" applyBorder="1" applyAlignment="1" applyProtection="1">
      <alignment horizontal="center" vertical="center"/>
    </xf>
    <xf numFmtId="0" fontId="7" fillId="0" borderId="0" xfId="0" applyFont="1" applyAlignment="1" applyProtection="1">
      <alignment horizontal="left" vertical="center"/>
    </xf>
    <xf numFmtId="0" fontId="22" fillId="0" borderId="5" xfId="0" applyFont="1" applyBorder="1" applyProtection="1"/>
    <xf numFmtId="14" fontId="21" fillId="0" borderId="0" xfId="0" applyNumberFormat="1" applyFont="1" applyProtection="1"/>
    <xf numFmtId="14" fontId="7" fillId="0" borderId="0" xfId="0" applyNumberFormat="1" applyFont="1" applyProtection="1"/>
    <xf numFmtId="0" fontId="21" fillId="0" borderId="0" xfId="0" applyFont="1" applyProtection="1">
      <protection locked="0"/>
    </xf>
    <xf numFmtId="0" fontId="0" fillId="3" borderId="11" xfId="0" applyFill="1" applyBorder="1" applyAlignment="1" applyProtection="1">
      <alignment horizontal="center"/>
      <protection locked="0"/>
    </xf>
    <xf numFmtId="14" fontId="0" fillId="3" borderId="11" xfId="0" applyNumberFormat="1" applyFill="1" applyBorder="1" applyAlignment="1" applyProtection="1">
      <alignment horizontal="center"/>
      <protection locked="0"/>
    </xf>
    <xf numFmtId="3" fontId="21" fillId="0" borderId="0" xfId="0" applyNumberFormat="1" applyFont="1" applyBorder="1" applyAlignment="1" applyProtection="1">
      <alignment horizontal="center" vertical="center"/>
    </xf>
    <xf numFmtId="14" fontId="2" fillId="0" borderId="5" xfId="0" applyNumberFormat="1" applyFont="1" applyBorder="1" applyProtection="1"/>
    <xf numFmtId="14" fontId="0" fillId="0" borderId="0" xfId="0" applyNumberFormat="1" applyProtection="1"/>
    <xf numFmtId="3" fontId="21" fillId="0" borderId="0" xfId="0" applyNumberFormat="1" applyFont="1" applyProtection="1"/>
    <xf numFmtId="3" fontId="21" fillId="0" borderId="0" xfId="0" applyNumberFormat="1" applyFont="1" applyAlignment="1" applyProtection="1"/>
    <xf numFmtId="0" fontId="2" fillId="0" borderId="0" xfId="0" applyFont="1"/>
    <xf numFmtId="3" fontId="21" fillId="0" borderId="1" xfId="0" applyNumberFormat="1" applyFont="1" applyBorder="1" applyAlignment="1" applyProtection="1">
      <alignment horizontal="center"/>
    </xf>
    <xf numFmtId="0" fontId="0" fillId="0" borderId="5" xfId="0" applyBorder="1" applyProtection="1"/>
    <xf numFmtId="3" fontId="21" fillId="0" borderId="10" xfId="0" applyNumberFormat="1" applyFont="1" applyBorder="1" applyAlignment="1" applyProtection="1">
      <alignment horizontal="center" vertical="center"/>
      <protection locked="0"/>
    </xf>
    <xf numFmtId="0" fontId="6" fillId="0" borderId="0" xfId="0" applyFont="1" applyAlignment="1" applyProtection="1"/>
    <xf numFmtId="0" fontId="6" fillId="0" borderId="0" xfId="0" applyFont="1" applyProtection="1"/>
    <xf numFmtId="0" fontId="7" fillId="0" borderId="0" xfId="0" applyFont="1" applyAlignment="1" applyProtection="1"/>
    <xf numFmtId="0" fontId="7" fillId="0" borderId="7" xfId="0" applyFont="1" applyBorder="1" applyProtection="1"/>
    <xf numFmtId="0" fontId="7" fillId="0" borderId="5" xfId="0" applyFont="1" applyBorder="1" applyProtection="1"/>
    <xf numFmtId="0" fontId="2" fillId="0" borderId="0" xfId="0" applyFont="1" applyAlignment="1" applyProtection="1">
      <alignment wrapText="1"/>
    </xf>
    <xf numFmtId="1" fontId="21" fillId="0" borderId="1" xfId="0" applyNumberFormat="1" applyFont="1" applyBorder="1" applyAlignment="1" applyProtection="1">
      <alignment horizontal="center"/>
      <protection locked="0"/>
    </xf>
    <xf numFmtId="0" fontId="21" fillId="0" borderId="0" xfId="0" applyFont="1"/>
    <xf numFmtId="3" fontId="21" fillId="4" borderId="1" xfId="0" applyNumberFormat="1" applyFont="1" applyFill="1" applyBorder="1" applyAlignment="1" applyProtection="1">
      <alignment horizontal="center" vertical="center"/>
      <protection locked="0"/>
    </xf>
    <xf numFmtId="0" fontId="21" fillId="0" borderId="0" xfId="0" applyFont="1" applyFill="1"/>
    <xf numFmtId="0" fontId="41" fillId="0" borderId="5" xfId="0" applyFont="1" applyBorder="1"/>
    <xf numFmtId="1" fontId="21" fillId="0" borderId="1" xfId="0" applyNumberFormat="1" applyFont="1" applyBorder="1" applyAlignment="1">
      <alignment horizontal="center"/>
    </xf>
    <xf numFmtId="0" fontId="21" fillId="0" borderId="0" xfId="0" applyFont="1" applyFill="1" applyBorder="1" applyProtection="1"/>
    <xf numFmtId="0" fontId="7" fillId="4" borderId="0" xfId="0" applyFont="1" applyFill="1" applyProtection="1"/>
    <xf numFmtId="0" fontId="21" fillId="4" borderId="0" xfId="0" applyFont="1" applyFill="1" applyProtection="1"/>
    <xf numFmtId="0" fontId="0" fillId="4" borderId="0" xfId="0" applyFill="1" applyProtection="1"/>
    <xf numFmtId="1" fontId="21" fillId="0" borderId="0" xfId="0" applyNumberFormat="1" applyFont="1" applyProtection="1"/>
    <xf numFmtId="0" fontId="0" fillId="0" borderId="0" xfId="0" applyProtection="1">
      <protection locked="0"/>
    </xf>
    <xf numFmtId="0" fontId="0" fillId="0" borderId="0" xfId="0" applyAlignment="1" applyProtection="1">
      <protection locked="0"/>
    </xf>
    <xf numFmtId="0" fontId="0" fillId="0" borderId="0" xfId="0" applyAlignment="1" applyProtection="1">
      <alignment horizontal="left" vertical="top" wrapText="1"/>
    </xf>
    <xf numFmtId="0" fontId="0" fillId="0" borderId="0" xfId="0" applyAlignment="1" applyProtection="1">
      <alignment horizontal="left" vertical="top"/>
    </xf>
    <xf numFmtId="0" fontId="30" fillId="0" borderId="0" xfId="0" applyFont="1" applyAlignment="1" applyProtection="1">
      <alignment horizontal="center"/>
    </xf>
    <xf numFmtId="0" fontId="0" fillId="0" borderId="0" xfId="0" applyAlignment="1" applyProtection="1">
      <alignment horizontal="left" wrapText="1"/>
    </xf>
    <xf numFmtId="0" fontId="0" fillId="0" borderId="0" xfId="0" applyAlignment="1" applyProtection="1">
      <alignment horizontal="left"/>
    </xf>
    <xf numFmtId="0" fontId="0" fillId="0" borderId="0" xfId="0" applyFill="1" applyBorder="1" applyAlignment="1" applyProtection="1">
      <alignment horizontal="left" wrapText="1"/>
    </xf>
    <xf numFmtId="0" fontId="0" fillId="0" borderId="0" xfId="0" applyFill="1" applyBorder="1" applyAlignment="1" applyProtection="1">
      <alignment horizontal="left"/>
    </xf>
    <xf numFmtId="0" fontId="20" fillId="0" borderId="28" xfId="0" applyFont="1" applyBorder="1" applyAlignment="1" applyProtection="1">
      <alignment horizontal="center" vertical="center"/>
    </xf>
    <xf numFmtId="0" fontId="20" fillId="0" borderId="29" xfId="0" applyFont="1" applyBorder="1" applyAlignment="1" applyProtection="1">
      <alignment horizontal="center" vertical="center"/>
    </xf>
    <xf numFmtId="0" fontId="20" fillId="0" borderId="30" xfId="0" applyFont="1" applyBorder="1" applyAlignment="1" applyProtection="1">
      <alignment horizontal="center" vertical="center"/>
    </xf>
    <xf numFmtId="0" fontId="34" fillId="0" borderId="28" xfId="0" applyFont="1" applyBorder="1" applyAlignment="1" applyProtection="1">
      <alignment horizontal="center" vertical="center"/>
    </xf>
    <xf numFmtId="0" fontId="34" fillId="0" borderId="29" xfId="0" applyFont="1" applyBorder="1" applyAlignment="1" applyProtection="1">
      <alignment horizontal="center" vertical="center"/>
    </xf>
    <xf numFmtId="0" fontId="34" fillId="0" borderId="30" xfId="0" applyFont="1" applyBorder="1" applyAlignment="1" applyProtection="1">
      <alignment horizontal="center" vertical="center"/>
    </xf>
    <xf numFmtId="0" fontId="7" fillId="0" borderId="28" xfId="0" applyFont="1" applyBorder="1" applyAlignment="1" applyProtection="1">
      <alignment horizontal="left" vertical="center" wrapText="1" indent="1"/>
    </xf>
    <xf numFmtId="0" fontId="7" fillId="0" borderId="29" xfId="0" applyFont="1" applyBorder="1" applyAlignment="1" applyProtection="1">
      <alignment horizontal="left" vertical="center" wrapText="1" indent="1"/>
    </xf>
    <xf numFmtId="0" fontId="7" fillId="0" borderId="30" xfId="0" applyFont="1" applyBorder="1" applyAlignment="1" applyProtection="1">
      <alignment horizontal="left" vertical="center" wrapText="1" indent="1"/>
    </xf>
    <xf numFmtId="0" fontId="35" fillId="0" borderId="0" xfId="0" applyFont="1" applyAlignment="1" applyProtection="1">
      <alignment horizontal="center"/>
    </xf>
    <xf numFmtId="167" fontId="34" fillId="0" borderId="0" xfId="0" applyNumberFormat="1" applyFont="1" applyAlignment="1" applyProtection="1">
      <alignment horizontal="center"/>
    </xf>
    <xf numFmtId="0" fontId="21" fillId="0" borderId="5" xfId="0" applyFont="1" applyBorder="1" applyAlignment="1" applyProtection="1">
      <alignment horizontal="left"/>
    </xf>
    <xf numFmtId="0" fontId="21" fillId="0" borderId="0" xfId="0" applyFont="1" applyBorder="1" applyAlignment="1" applyProtection="1">
      <alignment horizontal="left"/>
    </xf>
    <xf numFmtId="0" fontId="2" fillId="0" borderId="28" xfId="0" applyFont="1" applyBorder="1" applyAlignment="1" applyProtection="1">
      <alignment horizontal="left" vertical="center" wrapText="1" indent="1"/>
    </xf>
    <xf numFmtId="0" fontId="21" fillId="0" borderId="29" xfId="0" applyFont="1" applyBorder="1" applyAlignment="1" applyProtection="1">
      <alignment horizontal="left" vertical="center" wrapText="1" indent="1"/>
    </xf>
    <xf numFmtId="0" fontId="21" fillId="0" borderId="30" xfId="0" applyFont="1" applyBorder="1" applyAlignment="1" applyProtection="1">
      <alignment horizontal="left" vertical="center" wrapText="1" indent="1"/>
    </xf>
    <xf numFmtId="0" fontId="2" fillId="0" borderId="29" xfId="0" applyFont="1" applyBorder="1" applyAlignment="1" applyProtection="1">
      <alignment horizontal="left" vertical="center" wrapText="1" indent="1"/>
    </xf>
    <xf numFmtId="0" fontId="12"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3" fillId="2" borderId="0" xfId="2" applyFont="1" applyFill="1" applyBorder="1" applyAlignment="1" applyProtection="1">
      <alignment horizontal="center" vertical="center" wrapText="1"/>
    </xf>
    <xf numFmtId="0" fontId="37" fillId="0" borderId="0" xfId="2" applyFont="1" applyAlignment="1" applyProtection="1">
      <alignment horizontal="center" wrapText="1"/>
    </xf>
    <xf numFmtId="0" fontId="38" fillId="0" borderId="0" xfId="2" applyFont="1" applyAlignment="1" applyProtection="1">
      <alignment horizont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36" fillId="0" borderId="8" xfId="2" applyFont="1" applyBorder="1" applyAlignment="1" applyProtection="1">
      <alignment horizontal="center" vertical="top" wrapText="1"/>
    </xf>
  </cellXfs>
  <cellStyles count="4">
    <cellStyle name="Normal" xfId="0" builtinId="0"/>
    <cellStyle name="Normal 2" xfId="1" xr:uid="{00000000-0005-0000-0000-000001000000}"/>
    <cellStyle name="Normal 3" xfId="2" xr:uid="{00000000-0005-0000-0000-000002000000}"/>
    <cellStyle name="Percent 2" xfId="3" xr:uid="{00000000-0005-0000-0000-000003000000}"/>
  </cellStyles>
  <dxfs count="3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bottom style="thin">
          <color auto="1"/>
        </bottom>
        <vertical/>
        <horizontal/>
      </border>
    </dxf>
  </dxfs>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N70" lockText="1"/>
</file>

<file path=xl/ctrlProps/ctrlProp10.xml><?xml version="1.0" encoding="utf-8"?>
<formControlPr xmlns="http://schemas.microsoft.com/office/spreadsheetml/2009/9/main" objectType="CheckBox" fmlaLink="$N$20" lockText="1"/>
</file>

<file path=xl/ctrlProps/ctrlProp2.xml><?xml version="1.0" encoding="utf-8"?>
<formControlPr xmlns="http://schemas.microsoft.com/office/spreadsheetml/2009/9/main" objectType="CheckBox" fmlaLink="$N71" lockText="1"/>
</file>

<file path=xl/ctrlProps/ctrlProp3.xml><?xml version="1.0" encoding="utf-8"?>
<formControlPr xmlns="http://schemas.microsoft.com/office/spreadsheetml/2009/9/main" objectType="CheckBox" fmlaLink="$N80" lockText="1"/>
</file>

<file path=xl/ctrlProps/ctrlProp4.xml><?xml version="1.0" encoding="utf-8"?>
<formControlPr xmlns="http://schemas.microsoft.com/office/spreadsheetml/2009/9/main" objectType="CheckBox" fmlaLink="$N81" lockText="1"/>
</file>

<file path=xl/ctrlProps/ctrlProp5.xml><?xml version="1.0" encoding="utf-8"?>
<formControlPr xmlns="http://schemas.microsoft.com/office/spreadsheetml/2009/9/main" objectType="CheckBox" fmlaLink="$N99" lockText="1"/>
</file>

<file path=xl/ctrlProps/ctrlProp6.xml><?xml version="1.0" encoding="utf-8"?>
<formControlPr xmlns="http://schemas.microsoft.com/office/spreadsheetml/2009/9/main" objectType="CheckBox" fmlaLink="$N108" lockText="1"/>
</file>

<file path=xl/ctrlProps/ctrlProp7.xml><?xml version="1.0" encoding="utf-8"?>
<formControlPr xmlns="http://schemas.microsoft.com/office/spreadsheetml/2009/9/main" objectType="CheckBox" fmlaLink="$N109" lockText="1"/>
</file>

<file path=xl/ctrlProps/ctrlProp8.xml><?xml version="1.0" encoding="utf-8"?>
<formControlPr xmlns="http://schemas.microsoft.com/office/spreadsheetml/2009/9/main" objectType="CheckBox" fmlaLink="$N82" lockText="1"/>
</file>

<file path=xl/ctrlProps/ctrlProp9.xml><?xml version="1.0" encoding="utf-8"?>
<formControlPr xmlns="http://schemas.microsoft.com/office/spreadsheetml/2009/9/main" objectType="CheckBox" fmlaLink="$N21" lockText="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69</xdr:row>
          <xdr:rowOff>9525</xdr:rowOff>
        </xdr:from>
        <xdr:to>
          <xdr:col>3</xdr:col>
          <xdr:colOff>504825</xdr:colOff>
          <xdr:row>69</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70</xdr:row>
          <xdr:rowOff>9525</xdr:rowOff>
        </xdr:from>
        <xdr:to>
          <xdr:col>3</xdr:col>
          <xdr:colOff>523875</xdr:colOff>
          <xdr:row>71</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79</xdr:row>
          <xdr:rowOff>9525</xdr:rowOff>
        </xdr:from>
        <xdr:to>
          <xdr:col>3</xdr:col>
          <xdr:colOff>523875</xdr:colOff>
          <xdr:row>80</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80</xdr:row>
          <xdr:rowOff>9525</xdr:rowOff>
        </xdr:from>
        <xdr:to>
          <xdr:col>3</xdr:col>
          <xdr:colOff>523875</xdr:colOff>
          <xdr:row>81</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98</xdr:row>
          <xdr:rowOff>9525</xdr:rowOff>
        </xdr:from>
        <xdr:to>
          <xdr:col>3</xdr:col>
          <xdr:colOff>523875</xdr:colOff>
          <xdr:row>99</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107</xdr:row>
          <xdr:rowOff>9525</xdr:rowOff>
        </xdr:from>
        <xdr:to>
          <xdr:col>3</xdr:col>
          <xdr:colOff>523875</xdr:colOff>
          <xdr:row>108</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108</xdr:row>
          <xdr:rowOff>9525</xdr:rowOff>
        </xdr:from>
        <xdr:to>
          <xdr:col>3</xdr:col>
          <xdr:colOff>523875</xdr:colOff>
          <xdr:row>109</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81</xdr:row>
          <xdr:rowOff>9525</xdr:rowOff>
        </xdr:from>
        <xdr:to>
          <xdr:col>3</xdr:col>
          <xdr:colOff>523875</xdr:colOff>
          <xdr:row>82</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3543300</xdr:colOff>
          <xdr:row>30</xdr:row>
          <xdr:rowOff>180975</xdr:rowOff>
        </xdr:from>
        <xdr:to>
          <xdr:col>2</xdr:col>
          <xdr:colOff>3962400</xdr:colOff>
          <xdr:row>31</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17</xdr:row>
          <xdr:rowOff>19050</xdr:rowOff>
        </xdr:from>
        <xdr:to>
          <xdr:col>5</xdr:col>
          <xdr:colOff>123825</xdr:colOff>
          <xdr:row>20</xdr:row>
          <xdr:rowOff>66675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G23"/>
  <sheetViews>
    <sheetView showGridLines="0" tabSelected="1" workbookViewId="0">
      <selection activeCell="C5" sqref="C5"/>
    </sheetView>
  </sheetViews>
  <sheetFormatPr defaultColWidth="9" defaultRowHeight="15" x14ac:dyDescent="0.25"/>
  <cols>
    <col min="1" max="1" width="1.28515625" style="4" customWidth="1"/>
    <col min="2" max="2" width="22.28515625" style="4" customWidth="1"/>
    <col min="3" max="3" width="28" style="4" customWidth="1"/>
    <col min="4" max="4" width="30.42578125" style="4" customWidth="1"/>
    <col min="5" max="7" width="18.85546875" style="4" hidden="1" customWidth="1"/>
    <col min="8" max="16384" width="9" style="4"/>
  </cols>
  <sheetData>
    <row r="1" spans="2:7" ht="18.75" x14ac:dyDescent="0.3">
      <c r="B1" s="146" t="s">
        <v>160</v>
      </c>
      <c r="C1" s="146"/>
      <c r="D1" s="146"/>
      <c r="F1" s="118">
        <v>44561</v>
      </c>
    </row>
    <row r="2" spans="2:7" ht="18.75" x14ac:dyDescent="0.3">
      <c r="B2" s="51"/>
      <c r="C2" s="51"/>
      <c r="D2" s="51"/>
      <c r="F2" s="118">
        <v>44227</v>
      </c>
    </row>
    <row r="3" spans="2:7" ht="18.75" x14ac:dyDescent="0.3">
      <c r="B3" s="52" t="s">
        <v>126</v>
      </c>
      <c r="C3" s="51"/>
      <c r="D3" s="51"/>
      <c r="F3" s="118">
        <v>44255</v>
      </c>
    </row>
    <row r="4" spans="2:7" ht="9.6" customHeight="1" x14ac:dyDescent="0.25">
      <c r="F4" s="118">
        <v>44286</v>
      </c>
    </row>
    <row r="5" spans="2:7" x14ac:dyDescent="0.25">
      <c r="B5" s="4" t="s">
        <v>125</v>
      </c>
      <c r="C5" s="114"/>
      <c r="D5" s="50"/>
      <c r="F5" s="118">
        <v>44316</v>
      </c>
    </row>
    <row r="6" spans="2:7" ht="9.6" customHeight="1" x14ac:dyDescent="0.25">
      <c r="C6" s="50"/>
      <c r="D6" s="50"/>
      <c r="F6" s="118">
        <v>44347</v>
      </c>
    </row>
    <row r="7" spans="2:7" x14ac:dyDescent="0.25">
      <c r="B7" s="4" t="s">
        <v>27</v>
      </c>
      <c r="C7" s="114"/>
      <c r="D7" s="50"/>
      <c r="F7" s="118">
        <v>44377</v>
      </c>
    </row>
    <row r="8" spans="2:7" ht="9.6" customHeight="1" x14ac:dyDescent="0.25">
      <c r="D8" s="50"/>
      <c r="F8" s="118">
        <v>44408</v>
      </c>
    </row>
    <row r="9" spans="2:7" x14ac:dyDescent="0.25">
      <c r="B9" s="4" t="s">
        <v>141</v>
      </c>
      <c r="C9" s="115"/>
      <c r="D9" s="50"/>
      <c r="F9" s="118">
        <v>44439</v>
      </c>
    </row>
    <row r="10" spans="2:7" ht="9.6" customHeight="1" x14ac:dyDescent="0.25">
      <c r="C10" s="50"/>
      <c r="D10" s="50"/>
      <c r="F10" s="118">
        <v>44469</v>
      </c>
    </row>
    <row r="11" spans="2:7" x14ac:dyDescent="0.25">
      <c r="B11" s="4" t="s">
        <v>28</v>
      </c>
      <c r="C11" s="115"/>
      <c r="D11" s="50"/>
      <c r="F11" s="118">
        <v>44500</v>
      </c>
    </row>
    <row r="12" spans="2:7" ht="27.95" customHeight="1" x14ac:dyDescent="0.25">
      <c r="F12" s="118">
        <v>44530</v>
      </c>
    </row>
    <row r="13" spans="2:7" ht="15.75" x14ac:dyDescent="0.25">
      <c r="B13" s="52" t="s">
        <v>60</v>
      </c>
      <c r="F13" s="118"/>
    </row>
    <row r="14" spans="2:7" ht="9.6" customHeight="1" x14ac:dyDescent="0.25"/>
    <row r="15" spans="2:7" ht="14.25" customHeight="1" x14ac:dyDescent="0.25">
      <c r="B15" s="147" t="s">
        <v>161</v>
      </c>
      <c r="C15" s="148"/>
      <c r="D15" s="148"/>
      <c r="G15" s="77"/>
    </row>
    <row r="16" spans="2:7" ht="23.1" customHeight="1" x14ac:dyDescent="0.25">
      <c r="B16" s="148" t="s">
        <v>61</v>
      </c>
      <c r="C16" s="148"/>
      <c r="D16" s="148"/>
    </row>
    <row r="17" spans="2:4" ht="30.75" customHeight="1" x14ac:dyDescent="0.25">
      <c r="B17" s="149" t="s">
        <v>164</v>
      </c>
      <c r="C17" s="150"/>
      <c r="D17" s="150"/>
    </row>
    <row r="18" spans="2:4" ht="40.5" customHeight="1" x14ac:dyDescent="0.25">
      <c r="B18" s="149" t="s">
        <v>162</v>
      </c>
      <c r="C18" s="149"/>
      <c r="D18" s="149"/>
    </row>
    <row r="19" spans="2:4" ht="23.1" customHeight="1" x14ac:dyDescent="0.25">
      <c r="B19" s="148" t="s">
        <v>130</v>
      </c>
      <c r="C19" s="148"/>
      <c r="D19" s="148"/>
    </row>
    <row r="21" spans="2:4" ht="15.75" x14ac:dyDescent="0.25">
      <c r="B21" s="78" t="s">
        <v>132</v>
      </c>
    </row>
    <row r="22" spans="2:4" ht="9.6" customHeight="1" x14ac:dyDescent="0.25"/>
    <row r="23" spans="2:4" ht="190.35" customHeight="1" x14ac:dyDescent="0.25">
      <c r="B23" s="144" t="s">
        <v>203</v>
      </c>
      <c r="C23" s="145"/>
      <c r="D23" s="145"/>
    </row>
  </sheetData>
  <sheetProtection algorithmName="SHA-512" hashValue="sZxOurmVz29mBR2UJiRDxB27IShubVenS/AMGDD6kpPEQ0D1ydXWpl8OZOIjBf62Uly+L9AfTN7ItBLNfLLiSQ==" saltValue="3AibeM7KRPy2wHLcxyJNIQ==" spinCount="100000" sheet="1" selectLockedCells="1"/>
  <mergeCells count="7">
    <mergeCell ref="B23:D23"/>
    <mergeCell ref="B1:D1"/>
    <mergeCell ref="B15:D15"/>
    <mergeCell ref="B16:D16"/>
    <mergeCell ref="B17:D17"/>
    <mergeCell ref="B18:D18"/>
    <mergeCell ref="B19:D19"/>
  </mergeCells>
  <dataValidations count="3">
    <dataValidation type="textLength" allowBlank="1" showInputMessage="1" showErrorMessage="1" sqref="C7" xr:uid="{00000000-0002-0000-0000-000000000000}">
      <formula1>0</formula1>
      <formula2>40</formula2>
    </dataValidation>
    <dataValidation type="whole" allowBlank="1" showInputMessage="1" showErrorMessage="1" sqref="C5" xr:uid="{00000000-0002-0000-0000-000001000000}">
      <formula1>1</formula1>
      <formula2>9999</formula2>
    </dataValidation>
    <dataValidation type="list" allowBlank="1" showErrorMessage="1" sqref="C9" xr:uid="{00000000-0002-0000-0000-000002000000}">
      <formula1>$F$1:$F$13</formula1>
    </dataValidation>
  </dataValidations>
  <pageMargins left="0.7"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K131"/>
  <sheetViews>
    <sheetView showGridLines="0" zoomScaleNormal="100" workbookViewId="0">
      <selection activeCell="R9" sqref="R9"/>
    </sheetView>
  </sheetViews>
  <sheetFormatPr defaultColWidth="9" defaultRowHeight="15" x14ac:dyDescent="0.25"/>
  <cols>
    <col min="1" max="1" width="4.28515625" style="4" customWidth="1"/>
    <col min="2" max="2" width="21.28515625" style="4" customWidth="1"/>
    <col min="3" max="3" width="60.140625" style="4" customWidth="1"/>
    <col min="4" max="4" width="9.140625" style="4" customWidth="1"/>
    <col min="5" max="5" width="1.7109375" style="4" customWidth="1"/>
    <col min="6" max="6" width="9.140625" style="4" customWidth="1"/>
    <col min="7" max="7" width="1.7109375" style="3" customWidth="1"/>
    <col min="8" max="10" width="8.7109375" style="4" customWidth="1"/>
    <col min="11" max="11" width="8.7109375" style="5" hidden="1" customWidth="1"/>
    <col min="12" max="14" width="8.7109375" style="6" hidden="1" customWidth="1"/>
    <col min="15" max="15" width="8.7109375" style="4" hidden="1" customWidth="1"/>
    <col min="16" max="37" width="9" style="142"/>
    <col min="38" max="16384" width="9" style="4"/>
  </cols>
  <sheetData>
    <row r="1" spans="1:37" ht="15.75" x14ac:dyDescent="0.25">
      <c r="A1" s="160" t="str">
        <f>"2021 Journey to Excellence - Troop "&amp;'Setup &amp; Instructions'!C5&amp;" - "&amp;'Setup &amp; Instructions'!C7&amp;" District"</f>
        <v>2021 Journey to Excellence - Troop  -  District</v>
      </c>
      <c r="B1" s="160"/>
      <c r="C1" s="160"/>
      <c r="D1" s="160"/>
      <c r="E1" s="160"/>
      <c r="F1" s="160"/>
      <c r="G1" s="160"/>
      <c r="H1" s="160"/>
      <c r="I1" s="160"/>
      <c r="J1" s="160"/>
      <c r="K1" s="138"/>
      <c r="L1" s="139"/>
      <c r="M1" s="139"/>
      <c r="N1" s="139"/>
      <c r="O1" s="140"/>
    </row>
    <row r="2" spans="1:37" s="6" customFormat="1" ht="13.7" customHeight="1" x14ac:dyDescent="0.2">
      <c r="A2" s="161" t="str">
        <f>IF('Setup &amp; Instructions'!C11="","",'Setup &amp; Instructions'!C11)</f>
        <v/>
      </c>
      <c r="B2" s="161"/>
      <c r="C2" s="161"/>
      <c r="D2" s="161"/>
      <c r="E2" s="161"/>
      <c r="F2" s="161"/>
      <c r="G2" s="161"/>
      <c r="H2" s="161"/>
      <c r="I2" s="161"/>
      <c r="J2" s="161"/>
      <c r="K2" s="5"/>
      <c r="P2" s="113"/>
      <c r="Q2" s="113"/>
      <c r="R2" s="113"/>
      <c r="S2" s="113"/>
      <c r="T2" s="113"/>
      <c r="U2" s="113"/>
      <c r="V2" s="113"/>
      <c r="W2" s="113"/>
      <c r="X2" s="113"/>
      <c r="Y2" s="113"/>
      <c r="Z2" s="113"/>
      <c r="AA2" s="113"/>
      <c r="AB2" s="113"/>
      <c r="AC2" s="113"/>
      <c r="AD2" s="113"/>
      <c r="AE2" s="113"/>
      <c r="AF2" s="113"/>
      <c r="AG2" s="113"/>
      <c r="AH2" s="113"/>
      <c r="AI2" s="113"/>
      <c r="AJ2" s="113"/>
      <c r="AK2" s="113"/>
    </row>
    <row r="3" spans="1:37" ht="18.600000000000001" customHeight="1" thickBot="1" x14ac:dyDescent="0.3">
      <c r="A3" s="7"/>
    </row>
    <row r="4" spans="1:37" ht="27.95" customHeight="1" thickBot="1" x14ac:dyDescent="0.3">
      <c r="A4" s="99" t="s">
        <v>4</v>
      </c>
      <c r="B4" s="100" t="s">
        <v>0</v>
      </c>
      <c r="C4" s="101" t="s">
        <v>5</v>
      </c>
      <c r="D4" s="102" t="s">
        <v>7</v>
      </c>
      <c r="E4" s="103"/>
      <c r="F4" s="102" t="s">
        <v>6</v>
      </c>
      <c r="G4" s="104"/>
      <c r="H4" s="99" t="s">
        <v>1</v>
      </c>
      <c r="I4" s="99" t="s">
        <v>2</v>
      </c>
      <c r="J4" s="99" t="s">
        <v>3</v>
      </c>
    </row>
    <row r="5" spans="1:37" ht="15" customHeight="1" thickBot="1" x14ac:dyDescent="0.3">
      <c r="A5" s="105"/>
      <c r="B5" s="106" t="s">
        <v>22</v>
      </c>
      <c r="C5" s="107"/>
      <c r="D5" s="107"/>
      <c r="E5" s="107"/>
      <c r="F5" s="107"/>
      <c r="G5" s="107"/>
      <c r="H5" s="107"/>
      <c r="I5" s="107"/>
      <c r="J5" s="108"/>
    </row>
    <row r="6" spans="1:37" ht="6.75" customHeight="1" x14ac:dyDescent="0.25">
      <c r="A6" s="154">
        <v>1</v>
      </c>
      <c r="B6" s="157" t="s">
        <v>174</v>
      </c>
      <c r="C6" s="8"/>
      <c r="D6" s="9"/>
      <c r="E6" s="9"/>
      <c r="F6" s="9"/>
      <c r="G6" s="10"/>
      <c r="H6" s="151" t="str">
        <f>IF(K10=1,K7,IF(K10=101,K7,""))</f>
        <v/>
      </c>
      <c r="I6" s="151" t="str">
        <f>IF(K10=11,L7,"")</f>
        <v/>
      </c>
      <c r="J6" s="151" t="str">
        <f>IF(K10=111,M7,"")</f>
        <v/>
      </c>
    </row>
    <row r="7" spans="1:37" ht="15" customHeight="1" x14ac:dyDescent="0.25">
      <c r="A7" s="155"/>
      <c r="B7" s="158"/>
      <c r="C7" s="11" t="s">
        <v>86</v>
      </c>
      <c r="D7" s="1"/>
      <c r="E7" s="12"/>
      <c r="F7" s="12"/>
      <c r="G7" s="13"/>
      <c r="H7" s="152"/>
      <c r="I7" s="152"/>
      <c r="J7" s="152"/>
      <c r="K7" s="5">
        <v>50</v>
      </c>
      <c r="L7" s="6">
        <v>100</v>
      </c>
      <c r="M7" s="6">
        <v>200</v>
      </c>
    </row>
    <row r="8" spans="1:37" ht="15" customHeight="1" x14ac:dyDescent="0.25">
      <c r="A8" s="155"/>
      <c r="B8" s="158"/>
      <c r="C8" s="11" t="s">
        <v>87</v>
      </c>
      <c r="D8" s="1"/>
      <c r="E8" s="12"/>
      <c r="F8" s="12"/>
      <c r="G8" s="13"/>
      <c r="H8" s="152"/>
      <c r="I8" s="152"/>
      <c r="J8" s="152"/>
      <c r="L8" s="6">
        <v>6</v>
      </c>
      <c r="M8" s="111"/>
    </row>
    <row r="9" spans="1:37" ht="15" customHeight="1" x14ac:dyDescent="0.25">
      <c r="A9" s="155"/>
      <c r="B9" s="158"/>
      <c r="C9" s="11" t="s">
        <v>9</v>
      </c>
      <c r="D9" s="1"/>
      <c r="E9" s="12"/>
      <c r="F9" s="12"/>
      <c r="G9" s="13"/>
      <c r="H9" s="152"/>
      <c r="I9" s="152"/>
      <c r="J9" s="152"/>
    </row>
    <row r="10" spans="1:37" ht="15" customHeight="1" x14ac:dyDescent="0.25">
      <c r="A10" s="155"/>
      <c r="B10" s="158"/>
      <c r="C10" s="11" t="s">
        <v>10</v>
      </c>
      <c r="D10" s="1"/>
      <c r="E10" s="12"/>
      <c r="F10" s="12"/>
      <c r="G10" s="13"/>
      <c r="H10" s="152"/>
      <c r="I10" s="152"/>
      <c r="J10" s="152"/>
      <c r="K10" s="5">
        <f>IF(D7="",0,1)+IF(F15=L8,100,0)+IF(D8="",0,10)</f>
        <v>0</v>
      </c>
    </row>
    <row r="11" spans="1:37" ht="15" customHeight="1" x14ac:dyDescent="0.25">
      <c r="A11" s="155"/>
      <c r="B11" s="158"/>
      <c r="C11" s="11" t="s">
        <v>11</v>
      </c>
      <c r="D11" s="1"/>
      <c r="E11" s="12"/>
      <c r="F11" s="12"/>
      <c r="G11" s="13"/>
      <c r="H11" s="152"/>
      <c r="I11" s="152"/>
      <c r="J11" s="152"/>
    </row>
    <row r="12" spans="1:37" ht="15" customHeight="1" x14ac:dyDescent="0.25">
      <c r="A12" s="155"/>
      <c r="B12" s="158"/>
      <c r="C12" s="11" t="s">
        <v>12</v>
      </c>
      <c r="D12" s="1"/>
      <c r="E12" s="12"/>
      <c r="F12" s="12"/>
      <c r="G12" s="13"/>
      <c r="H12" s="152"/>
      <c r="I12" s="152"/>
      <c r="J12" s="152"/>
    </row>
    <row r="13" spans="1:37" ht="15" customHeight="1" x14ac:dyDescent="0.25">
      <c r="A13" s="155"/>
      <c r="B13" s="158"/>
      <c r="C13" s="11" t="s">
        <v>13</v>
      </c>
      <c r="D13" s="1"/>
      <c r="E13" s="12"/>
      <c r="F13" s="12"/>
      <c r="G13" s="13"/>
      <c r="H13" s="152"/>
      <c r="I13" s="152"/>
      <c r="J13" s="152"/>
    </row>
    <row r="14" spans="1:37" ht="15" customHeight="1" x14ac:dyDescent="0.25">
      <c r="A14" s="155"/>
      <c r="B14" s="158"/>
      <c r="C14" s="11" t="s">
        <v>14</v>
      </c>
      <c r="D14" s="1"/>
      <c r="E14" s="12"/>
      <c r="F14" s="12"/>
      <c r="G14" s="13"/>
      <c r="H14" s="152"/>
      <c r="I14" s="152"/>
      <c r="J14" s="152"/>
    </row>
    <row r="15" spans="1:37" ht="15" customHeight="1" x14ac:dyDescent="0.25">
      <c r="A15" s="155"/>
      <c r="B15" s="158"/>
      <c r="C15" s="11" t="s">
        <v>8</v>
      </c>
      <c r="D15" s="14"/>
      <c r="E15" s="12"/>
      <c r="F15" s="15">
        <f>IF(D9="",0,1)+IF(D10="",0,1)+IF(D11="",0,1)+IF(D12="",0,1)+IF(D13="",0,1)+IF(D14="",0,1)</f>
        <v>0</v>
      </c>
      <c r="G15" s="13"/>
      <c r="H15" s="152"/>
      <c r="I15" s="152"/>
      <c r="J15" s="152"/>
    </row>
    <row r="16" spans="1:37" ht="6.75" customHeight="1" thickBot="1" x14ac:dyDescent="0.3">
      <c r="A16" s="156"/>
      <c r="B16" s="159"/>
      <c r="C16" s="16"/>
      <c r="D16" s="17"/>
      <c r="E16" s="17"/>
      <c r="F16" s="17"/>
      <c r="G16" s="18"/>
      <c r="H16" s="153"/>
      <c r="I16" s="153"/>
      <c r="J16" s="153"/>
    </row>
    <row r="17" spans="1:15" ht="15" customHeight="1" thickBot="1" x14ac:dyDescent="0.3">
      <c r="A17" s="105"/>
      <c r="B17" s="106" t="s">
        <v>23</v>
      </c>
      <c r="C17" s="107"/>
      <c r="D17" s="107"/>
      <c r="E17" s="107"/>
      <c r="F17" s="107"/>
      <c r="G17" s="107"/>
      <c r="H17" s="107"/>
      <c r="I17" s="107"/>
      <c r="J17" s="108"/>
    </row>
    <row r="18" spans="1:15" ht="6.75" customHeight="1" x14ac:dyDescent="0.25">
      <c r="A18" s="154">
        <v>2</v>
      </c>
      <c r="B18" s="164" t="s">
        <v>153</v>
      </c>
      <c r="C18" s="8"/>
      <c r="D18" s="9"/>
      <c r="E18" s="9"/>
      <c r="F18" s="9"/>
      <c r="G18" s="10"/>
      <c r="H18" s="151" t="str">
        <f>IF(AND(build_silver_score="",build_gold_score=""),IF(bronze_met=TRUE,build_bronze_score,""),"")</f>
        <v/>
      </c>
      <c r="I18" s="151" t="str">
        <f>IF(AND(build_gold_score="",bronze_met=TRUE,recruitment_event&lt;&gt;"",OR(gain&gt;0,AND(num_scouts&lt;gold_auto_score,num_scouts&gt;=silver_auto_score))),build_silver_points,"")</f>
        <v/>
      </c>
      <c r="J18" s="151" t="str">
        <f>IF(AND(bronze_met=TRUE,OR(K24=111,num_scouts&gt;=gold_auto_score)),build_gold_points,"")</f>
        <v/>
      </c>
    </row>
    <row r="19" spans="1:15" ht="3" customHeight="1" x14ac:dyDescent="0.25">
      <c r="A19" s="155"/>
      <c r="B19" s="167"/>
      <c r="C19" s="123"/>
      <c r="D19" s="19"/>
      <c r="E19" s="19"/>
      <c r="F19" s="19"/>
      <c r="G19" s="20"/>
      <c r="H19" s="152"/>
      <c r="I19" s="152"/>
      <c r="J19" s="152"/>
    </row>
    <row r="20" spans="1:15" ht="11.1" customHeight="1" x14ac:dyDescent="0.25">
      <c r="A20" s="155"/>
      <c r="B20" s="167"/>
      <c r="C20" s="162" t="s">
        <v>195</v>
      </c>
      <c r="D20" s="163"/>
      <c r="E20" s="19"/>
      <c r="G20" s="20"/>
      <c r="H20" s="152"/>
      <c r="I20" s="152"/>
      <c r="J20" s="152"/>
      <c r="N20" s="113" t="b">
        <v>0</v>
      </c>
    </row>
    <row r="21" spans="1:15" ht="15" customHeight="1" x14ac:dyDescent="0.25">
      <c r="A21" s="155"/>
      <c r="B21" s="167"/>
      <c r="C21" s="129" t="s">
        <v>177</v>
      </c>
      <c r="D21" s="1"/>
      <c r="E21" s="19"/>
      <c r="F21" s="19"/>
      <c r="G21" s="20"/>
      <c r="H21" s="152"/>
      <c r="I21" s="152"/>
      <c r="J21" s="152"/>
      <c r="K21" s="5">
        <v>50</v>
      </c>
      <c r="L21" s="6">
        <v>100</v>
      </c>
      <c r="M21" s="6">
        <v>200</v>
      </c>
      <c r="N21" s="113" t="b">
        <v>0</v>
      </c>
    </row>
    <row r="22" spans="1:15" ht="15" customHeight="1" x14ac:dyDescent="0.25">
      <c r="A22" s="155"/>
      <c r="B22" s="165"/>
      <c r="C22" s="34" t="str">
        <f>IF('Setup &amp; Instructions'!C9=44561," Count: Number of Scouts registered at start of this year's charter (1/1/2021)"," Count: Number of Scouts registered at start of this year's charter ("&amp;MONTH('Setup &amp; Instructions'!C9+1)&amp;"/"&amp;DAY('Setup &amp; Instructions'!C9+1)&amp;"/"&amp;YEAR('Setup &amp; Instructions'!C9)-1&amp;")")</f>
        <v xml:space="preserve"> Count: Number of Scouts registered at start of this year's charter (1/1/1899)</v>
      </c>
      <c r="D22" s="2"/>
      <c r="E22" s="12" t="s">
        <v>165</v>
      </c>
      <c r="F22" s="12"/>
      <c r="G22" s="13"/>
      <c r="H22" s="152"/>
      <c r="I22" s="152"/>
      <c r="J22" s="152"/>
      <c r="K22" s="112"/>
      <c r="M22" s="6">
        <v>0.05</v>
      </c>
      <c r="N22" s="6" t="b">
        <f>IF(AND(beascout_flag=TRUE, recruitment_event&lt;&gt;""),TRUE,FALSE)</f>
        <v>0</v>
      </c>
    </row>
    <row r="23" spans="1:15" ht="15" hidden="1" customHeight="1" x14ac:dyDescent="0.25">
      <c r="A23" s="155"/>
      <c r="B23" s="165"/>
      <c r="C23" s="7" t="s">
        <v>173</v>
      </c>
      <c r="D23" s="133"/>
      <c r="E23" s="12" t="s">
        <v>166</v>
      </c>
      <c r="F23" s="12"/>
      <c r="G23" s="13"/>
      <c r="H23" s="152"/>
      <c r="I23" s="152"/>
      <c r="J23" s="152"/>
      <c r="K23" s="5">
        <v>1</v>
      </c>
      <c r="L23" s="6">
        <v>25</v>
      </c>
      <c r="M23" s="6">
        <v>35</v>
      </c>
      <c r="O23" s="140"/>
    </row>
    <row r="24" spans="1:15" ht="15" customHeight="1" x14ac:dyDescent="0.25">
      <c r="A24" s="155"/>
      <c r="B24" s="165"/>
      <c r="C24" s="7" t="str">
        <f>IF($N$20,"    Less: Transfers to other units during the year","")</f>
        <v/>
      </c>
      <c r="D24" s="124"/>
      <c r="E24" s="12" t="str">
        <f>IF($N$20,"B","")</f>
        <v/>
      </c>
      <c r="F24" s="12" t="str">
        <f>IF(AND($N$20=FALSE,D24&gt;0),"ERROR","")</f>
        <v/>
      </c>
      <c r="G24" s="13"/>
      <c r="H24" s="152"/>
      <c r="I24" s="152"/>
      <c r="J24" s="152"/>
      <c r="K24" s="5">
        <f>IF(AND(D21&lt;&gt;"",num_scouts&gt;D22),1,0)+IF(OR(F31&gt;=L22,D30&gt;=L23),10,0)+IF(OR(F31&gt;=M22,D30&gt;=M23),100,0)</f>
        <v>10</v>
      </c>
      <c r="L24" s="119">
        <f>(D23+D24)</f>
        <v>0</v>
      </c>
    </row>
    <row r="25" spans="1:15" ht="15" customHeight="1" x14ac:dyDescent="0.25">
      <c r="A25" s="155"/>
      <c r="B25" s="165"/>
      <c r="C25" s="125" t="s">
        <v>172</v>
      </c>
      <c r="D25" s="2"/>
      <c r="E25" s="12" t="s">
        <v>200</v>
      </c>
      <c r="F25" s="12"/>
      <c r="G25" s="13"/>
      <c r="H25" s="152"/>
      <c r="I25" s="152"/>
      <c r="J25" s="152"/>
      <c r="L25" s="119"/>
    </row>
    <row r="26" spans="1:15" ht="15" customHeight="1" x14ac:dyDescent="0.25">
      <c r="A26" s="155"/>
      <c r="B26" s="165"/>
      <c r="C26" s="135" t="s">
        <v>197</v>
      </c>
      <c r="D26" s="2"/>
      <c r="E26" s="12" t="s">
        <v>167</v>
      </c>
      <c r="F26" s="12"/>
      <c r="G26" s="13"/>
      <c r="H26" s="152"/>
      <c r="I26" s="152"/>
      <c r="J26" s="152"/>
      <c r="K26" s="5">
        <f>IF(AND((N21=TRUE),(D21&lt;&gt;"")),1,0)</f>
        <v>0</v>
      </c>
      <c r="L26" s="119">
        <f>(D26+D27+D28)</f>
        <v>0</v>
      </c>
    </row>
    <row r="27" spans="1:15" ht="15" customHeight="1" x14ac:dyDescent="0.25">
      <c r="A27" s="155"/>
      <c r="B27" s="165"/>
      <c r="C27" s="126" t="s">
        <v>202</v>
      </c>
      <c r="D27" s="2"/>
      <c r="E27" s="12" t="s">
        <v>168</v>
      </c>
      <c r="F27" s="12"/>
      <c r="G27" s="13"/>
      <c r="H27" s="152"/>
      <c r="I27" s="152"/>
      <c r="J27" s="152"/>
      <c r="L27" s="141">
        <f>D30-D22</f>
        <v>0</v>
      </c>
    </row>
    <row r="28" spans="1:15" ht="15" customHeight="1" x14ac:dyDescent="0.25">
      <c r="A28" s="155"/>
      <c r="B28" s="165"/>
      <c r="C28" s="126" t="str">
        <f>IF($N$20,"    Plus: Transfers from other units during the year","")</f>
        <v/>
      </c>
      <c r="D28" s="124"/>
      <c r="E28" s="12" t="str">
        <f>IF($N$20,"F","")</f>
        <v/>
      </c>
      <c r="F28" s="12" t="str">
        <f>IF(AND($N$20=FALSE,D28&gt;0),"ERROR","")</f>
        <v/>
      </c>
      <c r="G28" s="13"/>
      <c r="H28" s="152"/>
      <c r="I28" s="152"/>
      <c r="J28" s="152"/>
    </row>
    <row r="29" spans="1:15" ht="15" customHeight="1" x14ac:dyDescent="0.25">
      <c r="A29" s="155"/>
      <c r="B29" s="165"/>
      <c r="C29" s="117" t="str">
        <f>" Count: Number of Scouts registered at end of this year's charter ("&amp;MONTH('Setup &amp; Instructions'!C9)&amp;"/"&amp;DAY('Setup &amp; Instructions'!C9)&amp;"/"&amp;YEAR('Setup &amp; Instructions'!C9)&amp;")"</f>
        <v xml:space="preserve"> Count: Number of Scouts registered at end of this year's charter (1/0/1900)</v>
      </c>
      <c r="D29" s="32"/>
      <c r="E29" s="137" t="s">
        <v>199</v>
      </c>
      <c r="F29" s="122">
        <f>D22+SUM(D26,D27,D28)-D24</f>
        <v>0</v>
      </c>
      <c r="G29" s="13"/>
      <c r="H29" s="152"/>
      <c r="I29" s="152"/>
      <c r="J29" s="152"/>
    </row>
    <row r="30" spans="1:15" ht="26.25" customHeight="1" x14ac:dyDescent="0.25">
      <c r="A30" s="155"/>
      <c r="B30" s="165"/>
      <c r="C30" s="130" t="str">
        <f>IF('Setup &amp; Instructions'!C9=44561," Count: Number of Scouts to be registered at the start of next year's charter (1/1/2022) including new applications submitted with charter renewal"," Count: Number of Scouts to be registered at the start of next year's charter ("&amp;MONTH('Setup &amp; Instructions'!C9+1)&amp;"/"&amp;DAY('Setup &amp; Instructions'!C9+1)&amp;"/"&amp;YEAR('Setup &amp; Instructions'!C9)&amp;") including new applications submitted with charter renewal")</f>
        <v xml:space="preserve"> Count: Number of Scouts to be registered at the start of next year's charter (1/1/1900) including new applications submitted with charter renewal</v>
      </c>
      <c r="D30" s="131"/>
      <c r="E30" s="134" t="s">
        <v>170</v>
      </c>
      <c r="F30" s="12"/>
      <c r="G30" s="13"/>
      <c r="H30" s="152"/>
      <c r="I30" s="152"/>
      <c r="J30" s="152"/>
    </row>
    <row r="31" spans="1:15" ht="15" customHeight="1" x14ac:dyDescent="0.25">
      <c r="A31" s="155"/>
      <c r="B31" s="165"/>
      <c r="C31" s="76" t="s">
        <v>138</v>
      </c>
      <c r="E31" s="12"/>
      <c r="F31" s="22">
        <f>IF(D22=0,0,D30/D22-1)</f>
        <v>0</v>
      </c>
      <c r="G31" s="13"/>
      <c r="H31" s="152"/>
      <c r="I31" s="152"/>
      <c r="J31" s="152"/>
    </row>
    <row r="32" spans="1:15" ht="15" customHeight="1" thickBot="1" x14ac:dyDescent="0.3">
      <c r="A32" s="156"/>
      <c r="B32" s="166"/>
      <c r="C32" s="128" t="s">
        <v>159</v>
      </c>
      <c r="D32" s="17"/>
      <c r="E32" s="17"/>
      <c r="F32" s="17"/>
      <c r="G32" s="18"/>
      <c r="H32" s="153"/>
      <c r="I32" s="153"/>
      <c r="J32" s="153"/>
    </row>
    <row r="33" spans="1:37" ht="6.75" customHeight="1" x14ac:dyDescent="0.25">
      <c r="A33" s="154">
        <v>3</v>
      </c>
      <c r="B33" s="164" t="s">
        <v>26</v>
      </c>
      <c r="C33" s="8"/>
      <c r="D33" s="9"/>
      <c r="E33" s="9"/>
      <c r="F33" s="9"/>
      <c r="G33" s="10"/>
      <c r="H33" s="151" t="str">
        <f>IF(K37=1,K34,IF(K37=101,K34,""))</f>
        <v/>
      </c>
      <c r="I33" s="151" t="str">
        <f>IF(K37=11,L34,"")</f>
        <v/>
      </c>
      <c r="J33" s="151" t="str">
        <f>IF(K37=111,M34,"")</f>
        <v/>
      </c>
    </row>
    <row r="34" spans="1:37" s="27" customFormat="1" ht="15" customHeight="1" x14ac:dyDescent="0.25">
      <c r="A34" s="155"/>
      <c r="B34" s="165"/>
      <c r="C34" s="121" t="str">
        <f>" Count: Number of Scouts to be registered at start of next year's charter ("&amp;MONTH('Setup &amp; Instructions'!C9+1)&amp;"/"&amp;DAY('Setup &amp; Instructions'!C9+1)&amp;"/"&amp;YEAR('Setup &amp; Instructions'!C9)&amp;")"</f>
        <v xml:space="preserve"> Count: Number of Scouts to be registered at start of next year's charter (1/1/1900)</v>
      </c>
      <c r="D34"/>
      <c r="E34" s="132" t="s">
        <v>170</v>
      </c>
      <c r="F34" s="136">
        <f>D30</f>
        <v>0</v>
      </c>
      <c r="G34" s="26"/>
      <c r="H34" s="152"/>
      <c r="I34" s="152"/>
      <c r="J34" s="152"/>
      <c r="K34" s="5">
        <v>50</v>
      </c>
      <c r="L34" s="6">
        <v>100</v>
      </c>
      <c r="M34" s="6">
        <v>200</v>
      </c>
      <c r="N34" s="28"/>
      <c r="P34" s="143"/>
      <c r="Q34" s="143"/>
      <c r="R34" s="143"/>
      <c r="S34" s="143"/>
      <c r="T34" s="143"/>
      <c r="U34" s="143"/>
      <c r="V34" s="143"/>
      <c r="W34" s="143"/>
      <c r="X34" s="143"/>
      <c r="Y34" s="143"/>
      <c r="Z34" s="143"/>
      <c r="AA34" s="143"/>
      <c r="AB34" s="143"/>
      <c r="AC34" s="143"/>
      <c r="AD34" s="143"/>
      <c r="AE34" s="143"/>
      <c r="AF34" s="143"/>
      <c r="AG34" s="143"/>
      <c r="AH34" s="143"/>
      <c r="AI34" s="143"/>
      <c r="AJ34" s="143"/>
      <c r="AK34" s="143"/>
    </row>
    <row r="35" spans="1:37" s="27" customFormat="1" ht="15" customHeight="1" x14ac:dyDescent="0.25">
      <c r="A35" s="155"/>
      <c r="B35" s="165"/>
      <c r="C35" s="121" t="str">
        <f>" Count: Number of NEW applications submitted with next year's charter "</f>
        <v xml:space="preserve"> Count: Number of NEW applications submitted with next year's charter </v>
      </c>
      <c r="D35" s="131"/>
      <c r="E35" s="132" t="s">
        <v>171</v>
      </c>
      <c r="F35" s="25"/>
      <c r="G35" s="26"/>
      <c r="H35" s="152"/>
      <c r="I35" s="152"/>
      <c r="J35" s="152"/>
      <c r="K35" s="6">
        <v>0.75</v>
      </c>
      <c r="L35" s="6">
        <v>0.8</v>
      </c>
      <c r="M35" s="6">
        <v>0.85</v>
      </c>
      <c r="N35" s="28"/>
      <c r="P35" s="143"/>
      <c r="Q35" s="143"/>
      <c r="R35" s="143"/>
      <c r="S35" s="143"/>
      <c r="T35" s="143"/>
      <c r="U35" s="143"/>
      <c r="V35" s="143"/>
      <c r="W35" s="143"/>
      <c r="X35" s="143"/>
      <c r="Y35" s="143"/>
      <c r="Z35" s="143"/>
      <c r="AA35" s="143"/>
      <c r="AB35" s="143"/>
      <c r="AC35" s="143"/>
      <c r="AD35" s="143"/>
      <c r="AE35" s="143"/>
      <c r="AF35" s="143"/>
      <c r="AG35" s="143"/>
      <c r="AH35" s="143"/>
      <c r="AI35" s="143"/>
      <c r="AJ35" s="143"/>
      <c r="AK35" s="143"/>
    </row>
    <row r="36" spans="1:37" s="27" customFormat="1" ht="15" customHeight="1" x14ac:dyDescent="0.25">
      <c r="A36" s="155"/>
      <c r="B36" s="165"/>
      <c r="C36" s="28" t="s">
        <v>139</v>
      </c>
      <c r="E36" s="132" t="s">
        <v>198</v>
      </c>
      <c r="F36" s="15">
        <f>F29-D25</f>
        <v>0</v>
      </c>
      <c r="G36" s="26"/>
      <c r="H36" s="152"/>
      <c r="I36" s="152"/>
      <c r="J36" s="152"/>
      <c r="K36" s="6"/>
      <c r="L36" s="6"/>
      <c r="M36" s="6"/>
      <c r="N36" s="28"/>
      <c r="P36" s="143"/>
      <c r="Q36" s="143"/>
      <c r="R36" s="143"/>
      <c r="S36" s="143"/>
      <c r="T36" s="143"/>
      <c r="U36" s="143"/>
      <c r="V36" s="143"/>
      <c r="W36" s="143"/>
      <c r="X36" s="143"/>
      <c r="Y36" s="143"/>
      <c r="Z36" s="143"/>
      <c r="AA36" s="143"/>
      <c r="AB36" s="143"/>
      <c r="AC36" s="143"/>
      <c r="AD36" s="143"/>
      <c r="AE36" s="143"/>
      <c r="AF36" s="143"/>
      <c r="AG36" s="143"/>
      <c r="AH36" s="143"/>
      <c r="AI36" s="143"/>
      <c r="AJ36" s="143"/>
      <c r="AK36" s="143"/>
    </row>
    <row r="37" spans="1:37" s="27" customFormat="1" ht="15" hidden="1" customHeight="1" x14ac:dyDescent="0.25">
      <c r="A37" s="155"/>
      <c r="B37" s="165"/>
      <c r="C37" s="28"/>
      <c r="G37" s="26"/>
      <c r="H37" s="152"/>
      <c r="I37" s="152"/>
      <c r="J37" s="152"/>
      <c r="K37" s="5">
        <f>IF(F38&gt;=K35,1,0)+IF(F38&gt;=L35,10,0)+IF(F38&gt;=M35,100,0)</f>
        <v>0</v>
      </c>
      <c r="L37" s="6"/>
      <c r="M37" s="6"/>
      <c r="N37" s="28"/>
      <c r="P37" s="143"/>
      <c r="Q37" s="143"/>
      <c r="R37" s="143"/>
      <c r="S37" s="143"/>
      <c r="T37" s="143"/>
      <c r="U37" s="143"/>
      <c r="V37" s="143"/>
      <c r="W37" s="143"/>
      <c r="X37" s="143"/>
      <c r="Y37" s="143"/>
      <c r="Z37" s="143"/>
      <c r="AA37" s="143"/>
      <c r="AB37" s="143"/>
      <c r="AC37" s="143"/>
      <c r="AD37" s="143"/>
      <c r="AE37" s="143"/>
      <c r="AF37" s="143"/>
      <c r="AG37" s="143"/>
      <c r="AH37" s="143"/>
      <c r="AI37" s="143"/>
      <c r="AJ37" s="143"/>
      <c r="AK37" s="143"/>
    </row>
    <row r="38" spans="1:37" s="27" customFormat="1" ht="15" customHeight="1" x14ac:dyDescent="0.25">
      <c r="A38" s="155"/>
      <c r="B38" s="165"/>
      <c r="C38" s="30" t="s">
        <v>140</v>
      </c>
      <c r="D38" s="29"/>
      <c r="E38" s="25"/>
      <c r="F38" s="24">
        <f>IF(F36&lt;=0,0,IF(F34-D35&gt;=F36,1,(F34-D35)/F36))</f>
        <v>0</v>
      </c>
      <c r="G38" s="26"/>
      <c r="H38" s="152"/>
      <c r="I38" s="152"/>
      <c r="J38" s="152"/>
      <c r="K38" s="5"/>
      <c r="L38" s="28"/>
      <c r="M38" s="120">
        <f>D22-D24+D26+D27+D28-D25</f>
        <v>0</v>
      </c>
      <c r="N38" s="28"/>
      <c r="P38" s="143"/>
      <c r="Q38" s="143"/>
      <c r="R38" s="143"/>
      <c r="S38" s="143"/>
      <c r="T38" s="143"/>
      <c r="U38" s="143"/>
      <c r="V38" s="143"/>
      <c r="W38" s="143"/>
      <c r="X38" s="143"/>
      <c r="Y38" s="143"/>
      <c r="Z38" s="143"/>
      <c r="AA38" s="143"/>
      <c r="AB38" s="143"/>
      <c r="AC38" s="143"/>
      <c r="AD38" s="143"/>
      <c r="AE38" s="143"/>
      <c r="AF38" s="143"/>
      <c r="AG38" s="143"/>
      <c r="AH38" s="143"/>
      <c r="AI38" s="143"/>
      <c r="AJ38" s="143"/>
      <c r="AK38" s="143"/>
    </row>
    <row r="39" spans="1:37" ht="6.75" customHeight="1" thickBot="1" x14ac:dyDescent="0.3">
      <c r="A39" s="156"/>
      <c r="B39" s="166"/>
      <c r="C39" s="16"/>
      <c r="D39" s="17"/>
      <c r="E39" s="17"/>
      <c r="F39" s="17"/>
      <c r="G39" s="18"/>
      <c r="H39" s="153"/>
      <c r="I39" s="153"/>
      <c r="J39" s="153"/>
    </row>
    <row r="40" spans="1:37" ht="6.75" customHeight="1" x14ac:dyDescent="0.25">
      <c r="A40" s="154">
        <v>4</v>
      </c>
      <c r="B40" s="164" t="s">
        <v>143</v>
      </c>
      <c r="C40" s="8"/>
      <c r="D40" s="9"/>
      <c r="E40" s="9"/>
      <c r="F40" s="9"/>
      <c r="G40" s="10"/>
      <c r="H40" s="151" t="str">
        <f>IF(K44=1,K41,IF(K44=101,K41,""))</f>
        <v/>
      </c>
      <c r="I40" s="151" t="str">
        <f>IF(K44=11,L41,"")</f>
        <v/>
      </c>
      <c r="J40" s="151" t="str">
        <f>IF(K44=111,M41,"")</f>
        <v/>
      </c>
    </row>
    <row r="41" spans="1:37" ht="13.7" customHeight="1" x14ac:dyDescent="0.25">
      <c r="A41" s="155"/>
      <c r="B41" s="165"/>
      <c r="C41" s="129" t="s">
        <v>175</v>
      </c>
      <c r="D41" s="1"/>
      <c r="E41" s="25"/>
      <c r="F41" s="29"/>
      <c r="G41" s="26"/>
      <c r="H41" s="152"/>
      <c r="I41" s="152"/>
      <c r="J41" s="152"/>
      <c r="K41" s="5">
        <v>25</v>
      </c>
      <c r="L41" s="6">
        <v>50</v>
      </c>
      <c r="M41" s="6">
        <v>100</v>
      </c>
    </row>
    <row r="42" spans="1:37" x14ac:dyDescent="0.25">
      <c r="A42" s="155"/>
      <c r="B42" s="165"/>
      <c r="C42" s="129" t="s">
        <v>176</v>
      </c>
      <c r="D42" s="1"/>
      <c r="E42" s="25"/>
      <c r="F42" s="29"/>
      <c r="G42" s="26"/>
      <c r="H42" s="152"/>
      <c r="I42" s="152"/>
      <c r="J42" s="152"/>
      <c r="K42" s="6">
        <v>2</v>
      </c>
      <c r="L42" s="6">
        <v>2</v>
      </c>
      <c r="M42" s="6">
        <v>5</v>
      </c>
    </row>
    <row r="43" spans="1:37" x14ac:dyDescent="0.25">
      <c r="A43" s="155"/>
      <c r="B43" s="165"/>
      <c r="C43" s="127" t="s">
        <v>201</v>
      </c>
      <c r="D43" s="29"/>
      <c r="E43" s="25"/>
      <c r="F43" s="21">
        <f>D27</f>
        <v>0</v>
      </c>
      <c r="G43" s="26"/>
      <c r="H43" s="152"/>
      <c r="I43" s="152"/>
      <c r="J43" s="152"/>
      <c r="K43" s="6">
        <v>0.75</v>
      </c>
      <c r="M43" s="6">
        <v>1</v>
      </c>
    </row>
    <row r="44" spans="1:37" ht="13.7" customHeight="1" x14ac:dyDescent="0.25">
      <c r="A44" s="155"/>
      <c r="B44" s="165"/>
      <c r="C44" s="31" t="s">
        <v>88</v>
      </c>
      <c r="D44" s="2"/>
      <c r="E44" s="25"/>
      <c r="G44" s="26"/>
      <c r="H44" s="152"/>
      <c r="I44" s="152"/>
      <c r="J44" s="152"/>
      <c r="K44" s="5">
        <f>IF(OR(D41="",D42=""),0,1)+IF(F43&gt;=L42,10,0)+IF(AND(F43&gt;=M42,D44&gt;=M43),100,0)</f>
        <v>0</v>
      </c>
    </row>
    <row r="45" spans="1:37" ht="6.75" customHeight="1" thickBot="1" x14ac:dyDescent="0.3">
      <c r="A45" s="156"/>
      <c r="B45" s="166"/>
      <c r="C45" s="16"/>
      <c r="D45" s="17"/>
      <c r="E45" s="17"/>
      <c r="F45" s="17"/>
      <c r="G45" s="18"/>
      <c r="H45" s="153"/>
      <c r="I45" s="153"/>
      <c r="J45" s="153"/>
      <c r="K45" s="6"/>
    </row>
    <row r="46" spans="1:37" ht="15" customHeight="1" thickBot="1" x14ac:dyDescent="0.3">
      <c r="A46" s="105"/>
      <c r="B46" s="106" t="s">
        <v>25</v>
      </c>
      <c r="C46" s="107"/>
      <c r="D46" s="107"/>
      <c r="E46" s="107"/>
      <c r="F46" s="107"/>
      <c r="G46" s="107"/>
      <c r="H46" s="107"/>
      <c r="I46" s="107"/>
      <c r="J46" s="108"/>
      <c r="K46" s="6"/>
    </row>
    <row r="47" spans="1:37" ht="6.75" customHeight="1" x14ac:dyDescent="0.25">
      <c r="A47" s="154">
        <v>5</v>
      </c>
      <c r="B47" s="164" t="s">
        <v>154</v>
      </c>
      <c r="C47" s="8"/>
      <c r="D47" s="9"/>
      <c r="E47" s="9"/>
      <c r="F47" s="9"/>
      <c r="G47" s="10"/>
      <c r="H47" s="151" t="str">
        <f>IF(K50=1,K48,"")</f>
        <v/>
      </c>
      <c r="I47" s="151" t="str">
        <f>IF(K50=11,L48,"")</f>
        <v/>
      </c>
      <c r="J47" s="151" t="str">
        <f>IF(K50=111,M48,"")</f>
        <v/>
      </c>
    </row>
    <row r="48" spans="1:37" ht="14.25" customHeight="1" x14ac:dyDescent="0.25">
      <c r="A48" s="155"/>
      <c r="B48" s="167"/>
      <c r="C48" s="121" t="s">
        <v>196</v>
      </c>
      <c r="D48" s="2"/>
      <c r="E48" s="25"/>
      <c r="G48" s="20"/>
      <c r="H48" s="152"/>
      <c r="I48" s="152"/>
      <c r="J48" s="152"/>
      <c r="K48" s="5">
        <v>50</v>
      </c>
      <c r="L48" s="6">
        <v>100</v>
      </c>
      <c r="M48" s="6">
        <v>200</v>
      </c>
    </row>
    <row r="49" spans="1:13" ht="14.25" customHeight="1" x14ac:dyDescent="0.25">
      <c r="A49" s="155"/>
      <c r="B49" s="165"/>
      <c r="C49" s="76" t="s">
        <v>155</v>
      </c>
      <c r="D49" s="2"/>
      <c r="E49" s="25"/>
      <c r="G49" s="26"/>
      <c r="H49" s="152"/>
      <c r="I49" s="152"/>
      <c r="J49" s="152"/>
      <c r="K49" s="6">
        <v>0.4</v>
      </c>
      <c r="L49" s="6">
        <v>0.5</v>
      </c>
      <c r="M49" s="6">
        <v>0.6</v>
      </c>
    </row>
    <row r="50" spans="1:13" ht="13.7" customHeight="1" x14ac:dyDescent="0.25">
      <c r="A50" s="155"/>
      <c r="B50" s="165"/>
      <c r="C50" s="6" t="s">
        <v>142</v>
      </c>
      <c r="D50" s="29"/>
      <c r="E50" s="25"/>
      <c r="F50" s="24">
        <f>IF(D48=0,0,IF(D49&gt;D48,1,D49/D48))</f>
        <v>0</v>
      </c>
      <c r="G50" s="26"/>
      <c r="H50" s="152"/>
      <c r="I50" s="152"/>
      <c r="J50" s="152"/>
      <c r="K50" s="6">
        <f>IF(F50&gt;=K49,1,0)+IF(F50&gt;=L49,10,0)+IF(F50&gt;=M49,100,0)</f>
        <v>0</v>
      </c>
    </row>
    <row r="51" spans="1:13" ht="6.75" customHeight="1" thickBot="1" x14ac:dyDescent="0.3">
      <c r="A51" s="156"/>
      <c r="B51" s="166"/>
      <c r="C51" s="16"/>
      <c r="D51" s="17"/>
      <c r="E51" s="17"/>
      <c r="F51" s="17"/>
      <c r="G51" s="18"/>
      <c r="H51" s="153"/>
      <c r="I51" s="153"/>
      <c r="J51" s="153"/>
    </row>
    <row r="52" spans="1:13" ht="6.75" customHeight="1" x14ac:dyDescent="0.25">
      <c r="A52" s="154">
        <v>6</v>
      </c>
      <c r="B52" s="157" t="s">
        <v>178</v>
      </c>
      <c r="C52" s="8"/>
      <c r="D52" s="9"/>
      <c r="E52" s="9"/>
      <c r="F52" s="9"/>
      <c r="G52" s="10"/>
      <c r="H52" s="151" t="str">
        <f>IF(K55=1,K53,"")</f>
        <v/>
      </c>
      <c r="I52" s="151" t="str">
        <f>IF(K55=11,L53,"")</f>
        <v/>
      </c>
      <c r="J52" s="151" t="str">
        <f>IF(K55=111,M53,"")</f>
        <v/>
      </c>
    </row>
    <row r="53" spans="1:13" ht="14.25" customHeight="1" x14ac:dyDescent="0.25">
      <c r="A53" s="155"/>
      <c r="B53" s="158"/>
      <c r="C53" s="34" t="s">
        <v>89</v>
      </c>
      <c r="D53" s="1"/>
      <c r="E53" s="12"/>
      <c r="F53" s="12"/>
      <c r="G53" s="13"/>
      <c r="H53" s="152"/>
      <c r="I53" s="152"/>
      <c r="J53" s="152"/>
      <c r="K53" s="5">
        <v>50</v>
      </c>
      <c r="L53" s="6">
        <v>100</v>
      </c>
      <c r="M53" s="6">
        <v>200</v>
      </c>
    </row>
    <row r="54" spans="1:13" x14ac:dyDescent="0.25">
      <c r="A54" s="155"/>
      <c r="B54" s="158"/>
      <c r="C54" s="34" t="s">
        <v>90</v>
      </c>
      <c r="D54" s="1"/>
      <c r="E54" s="12"/>
      <c r="F54" s="12"/>
      <c r="G54" s="13"/>
      <c r="H54" s="152"/>
      <c r="I54" s="152"/>
      <c r="J54" s="152"/>
      <c r="K54" s="6">
        <v>4</v>
      </c>
      <c r="L54" s="6">
        <v>7</v>
      </c>
      <c r="M54" s="6">
        <v>9</v>
      </c>
    </row>
    <row r="55" spans="1:13" x14ac:dyDescent="0.25">
      <c r="A55" s="155"/>
      <c r="B55" s="158"/>
      <c r="C55" s="34" t="s">
        <v>91</v>
      </c>
      <c r="D55" s="1"/>
      <c r="E55" s="12"/>
      <c r="F55" s="12"/>
      <c r="G55" s="13"/>
      <c r="H55" s="152"/>
      <c r="I55" s="152"/>
      <c r="J55" s="152"/>
      <c r="K55" s="5">
        <f>IF(F62&gt;=K54,1,0)+IF(F62&gt;=L54,10,0)+IF(F62&gt;=M54,100,0)</f>
        <v>0</v>
      </c>
    </row>
    <row r="56" spans="1:13" x14ac:dyDescent="0.25">
      <c r="A56" s="155"/>
      <c r="B56" s="158"/>
      <c r="C56" s="34" t="s">
        <v>92</v>
      </c>
      <c r="D56" s="1"/>
      <c r="E56" s="12"/>
      <c r="F56" s="12"/>
      <c r="G56" s="13"/>
      <c r="H56" s="152"/>
      <c r="I56" s="152"/>
      <c r="J56" s="152"/>
    </row>
    <row r="57" spans="1:13" x14ac:dyDescent="0.25">
      <c r="A57" s="155"/>
      <c r="B57" s="158"/>
      <c r="C57" s="34" t="s">
        <v>93</v>
      </c>
      <c r="D57" s="1"/>
      <c r="E57" s="12"/>
      <c r="F57" s="12"/>
      <c r="G57" s="13"/>
      <c r="H57" s="152"/>
      <c r="I57" s="152"/>
      <c r="J57" s="152"/>
    </row>
    <row r="58" spans="1:13" x14ac:dyDescent="0.25">
      <c r="A58" s="155"/>
      <c r="B58" s="158"/>
      <c r="C58" s="34" t="s">
        <v>94</v>
      </c>
      <c r="D58" s="1"/>
      <c r="E58" s="12"/>
      <c r="F58" s="12"/>
      <c r="G58" s="13"/>
      <c r="H58" s="152"/>
      <c r="I58" s="152"/>
      <c r="J58" s="152"/>
    </row>
    <row r="59" spans="1:13" x14ac:dyDescent="0.25">
      <c r="A59" s="155"/>
      <c r="B59" s="158"/>
      <c r="C59" s="34" t="s">
        <v>95</v>
      </c>
      <c r="D59" s="1"/>
      <c r="E59" s="12"/>
      <c r="F59" s="12"/>
      <c r="G59" s="13"/>
      <c r="H59" s="152"/>
      <c r="I59" s="152"/>
      <c r="J59" s="152"/>
    </row>
    <row r="60" spans="1:13" x14ac:dyDescent="0.25">
      <c r="A60" s="155"/>
      <c r="B60" s="158"/>
      <c r="C60" s="34" t="s">
        <v>96</v>
      </c>
      <c r="D60" s="1"/>
      <c r="E60" s="12"/>
      <c r="F60" s="12"/>
      <c r="G60" s="13"/>
      <c r="H60" s="152"/>
      <c r="I60" s="152"/>
      <c r="J60" s="152"/>
    </row>
    <row r="61" spans="1:13" x14ac:dyDescent="0.25">
      <c r="A61" s="155"/>
      <c r="B61" s="158"/>
      <c r="C61" s="34" t="s">
        <v>97</v>
      </c>
      <c r="D61" s="1"/>
      <c r="E61" s="12"/>
      <c r="F61" s="12"/>
      <c r="G61" s="13"/>
      <c r="H61" s="152"/>
      <c r="I61" s="152"/>
      <c r="J61" s="152"/>
    </row>
    <row r="62" spans="1:13" x14ac:dyDescent="0.25">
      <c r="A62" s="155"/>
      <c r="B62" s="158"/>
      <c r="C62" s="11" t="s">
        <v>98</v>
      </c>
      <c r="D62" s="14"/>
      <c r="E62" s="12"/>
      <c r="F62" s="15">
        <f>IF(D53="",0,1)+IF(D54="",0,1)+IF(D55="",0,1)++IF(D56="",0,1)+IF(D57="",0,1)+IF(D58="",0,1)+IF(D59="",0,1)+IF(D60="",0,1)+IF(D61="",0,1)</f>
        <v>0</v>
      </c>
      <c r="G62" s="13"/>
      <c r="H62" s="152"/>
      <c r="I62" s="152"/>
      <c r="J62" s="152"/>
    </row>
    <row r="63" spans="1:13" ht="6.75" customHeight="1" thickBot="1" x14ac:dyDescent="0.3">
      <c r="A63" s="156"/>
      <c r="B63" s="159"/>
      <c r="C63" s="16"/>
      <c r="D63" s="17"/>
      <c r="E63" s="17"/>
      <c r="F63" s="17"/>
      <c r="G63" s="18"/>
      <c r="H63" s="153"/>
      <c r="I63" s="153"/>
      <c r="J63" s="153"/>
    </row>
    <row r="64" spans="1:13" ht="6.75" customHeight="1" x14ac:dyDescent="0.25">
      <c r="A64" s="154">
        <v>7</v>
      </c>
      <c r="B64" s="157" t="s">
        <v>179</v>
      </c>
      <c r="C64" s="8"/>
      <c r="D64" s="9"/>
      <c r="E64" s="9"/>
      <c r="F64" s="9"/>
      <c r="G64" s="10"/>
      <c r="H64" s="151" t="str">
        <f>IF(K67=1,K65,"")</f>
        <v/>
      </c>
      <c r="I64" s="151" t="str">
        <f>IF(K67=11,L65,"")</f>
        <v/>
      </c>
      <c r="J64" s="151" t="str">
        <f>IF(K67=111,M65,"")</f>
        <v/>
      </c>
    </row>
    <row r="65" spans="1:14" x14ac:dyDescent="0.25">
      <c r="A65" s="155"/>
      <c r="B65" s="158"/>
      <c r="C65" s="31" t="s">
        <v>156</v>
      </c>
      <c r="D65" s="2"/>
      <c r="E65" s="25"/>
      <c r="G65" s="26"/>
      <c r="H65" s="152"/>
      <c r="I65" s="152"/>
      <c r="J65" s="152"/>
      <c r="K65" s="5">
        <v>50</v>
      </c>
      <c r="L65" s="6">
        <v>100</v>
      </c>
      <c r="M65" s="6">
        <v>200</v>
      </c>
    </row>
    <row r="66" spans="1:14" x14ac:dyDescent="0.25">
      <c r="A66" s="155"/>
      <c r="B66" s="158"/>
      <c r="C66" s="31" t="s">
        <v>157</v>
      </c>
      <c r="D66" s="2"/>
      <c r="E66" s="12"/>
      <c r="F66" s="12"/>
      <c r="G66" s="26"/>
      <c r="H66" s="152"/>
      <c r="I66" s="152"/>
      <c r="J66" s="152"/>
      <c r="K66" s="6">
        <v>0</v>
      </c>
      <c r="L66" s="6">
        <v>0.6</v>
      </c>
      <c r="M66" s="6">
        <v>0.7</v>
      </c>
    </row>
    <row r="67" spans="1:14" x14ac:dyDescent="0.25">
      <c r="A67" s="155"/>
      <c r="B67" s="158"/>
      <c r="C67" s="23" t="s">
        <v>15</v>
      </c>
      <c r="D67" s="32"/>
      <c r="E67" s="25"/>
      <c r="F67" s="24">
        <f>IF(D65=0,0,IF(D66&gt;D65,1,D66/D65))</f>
        <v>0</v>
      </c>
      <c r="G67" s="26"/>
      <c r="H67" s="152"/>
      <c r="I67" s="152"/>
      <c r="J67" s="152"/>
      <c r="K67" s="5">
        <f>IF(F67&gt;K66,1,0)+IF(F67&gt;=L66,10,0)+IF(F67&gt;=M66,100,0)</f>
        <v>0</v>
      </c>
    </row>
    <row r="68" spans="1:14" ht="15.75" customHeight="1" thickBot="1" x14ac:dyDescent="0.3">
      <c r="A68" s="156"/>
      <c r="B68" s="159"/>
      <c r="C68" s="16"/>
      <c r="D68" s="17"/>
      <c r="E68" s="17"/>
      <c r="F68" s="17"/>
      <c r="G68" s="18"/>
      <c r="H68" s="153"/>
      <c r="I68" s="153"/>
      <c r="J68" s="153"/>
    </row>
    <row r="69" spans="1:14" ht="6.75" customHeight="1" x14ac:dyDescent="0.25">
      <c r="A69" s="154">
        <v>8</v>
      </c>
      <c r="B69" s="157" t="s">
        <v>180</v>
      </c>
      <c r="C69" s="8"/>
      <c r="D69" s="9"/>
      <c r="E69" s="9"/>
      <c r="F69" s="9"/>
      <c r="G69" s="10"/>
      <c r="H69" s="151" t="str">
        <f>IF(K73=1,K70,"")</f>
        <v/>
      </c>
      <c r="I69" s="151" t="str">
        <f>IF(K73=11,L70,"")</f>
        <v/>
      </c>
      <c r="J69" s="151" t="str">
        <f>IF(K73=111,M70,"")</f>
        <v/>
      </c>
    </row>
    <row r="70" spans="1:14" ht="15" customHeight="1" x14ac:dyDescent="0.25">
      <c r="A70" s="155"/>
      <c r="B70" s="158"/>
      <c r="C70" s="11" t="s">
        <v>169</v>
      </c>
      <c r="D70" s="19"/>
      <c r="E70" s="33" t="b">
        <v>1</v>
      </c>
      <c r="F70" s="12"/>
      <c r="G70" s="13"/>
      <c r="H70" s="152"/>
      <c r="I70" s="152"/>
      <c r="J70" s="152"/>
      <c r="K70" s="5">
        <v>25</v>
      </c>
      <c r="L70" s="6">
        <v>50</v>
      </c>
      <c r="M70" s="6">
        <v>100</v>
      </c>
      <c r="N70" s="113" t="b">
        <v>0</v>
      </c>
    </row>
    <row r="71" spans="1:14" x14ac:dyDescent="0.25">
      <c r="A71" s="155"/>
      <c r="B71" s="158"/>
      <c r="C71" s="11" t="s">
        <v>99</v>
      </c>
      <c r="D71" s="19"/>
      <c r="E71" s="33" t="b">
        <v>0</v>
      </c>
      <c r="F71" s="12"/>
      <c r="G71" s="13"/>
      <c r="H71" s="152"/>
      <c r="I71" s="152"/>
      <c r="J71" s="152"/>
      <c r="K71" s="6">
        <v>3</v>
      </c>
      <c r="L71" s="6">
        <v>4</v>
      </c>
      <c r="M71" s="6">
        <v>5</v>
      </c>
      <c r="N71" s="113" t="b">
        <v>0</v>
      </c>
    </row>
    <row r="72" spans="1:14" x14ac:dyDescent="0.25">
      <c r="A72" s="155"/>
      <c r="B72" s="158"/>
      <c r="C72" s="34" t="s">
        <v>16</v>
      </c>
      <c r="D72" s="1"/>
      <c r="E72" s="12"/>
      <c r="F72" s="12"/>
      <c r="G72" s="13"/>
      <c r="H72" s="152"/>
      <c r="I72" s="152"/>
      <c r="J72" s="152"/>
      <c r="K72" s="6"/>
    </row>
    <row r="73" spans="1:14" x14ac:dyDescent="0.25">
      <c r="A73" s="155"/>
      <c r="B73" s="158"/>
      <c r="C73" s="34" t="s">
        <v>17</v>
      </c>
      <c r="D73" s="1"/>
      <c r="E73" s="12"/>
      <c r="F73" s="12"/>
      <c r="G73" s="13"/>
      <c r="H73" s="152"/>
      <c r="I73" s="152"/>
      <c r="J73" s="152"/>
      <c r="K73" s="5">
        <f>IF(AND(N70=TRUE,N71=TRUE,F77&gt;=K71),1,0)+IF(F77&gt;=L71,10,0)+IF(F77&gt;=M71,100,0)</f>
        <v>0</v>
      </c>
    </row>
    <row r="74" spans="1:14" x14ac:dyDescent="0.25">
      <c r="A74" s="155"/>
      <c r="B74" s="158"/>
      <c r="C74" s="34" t="s">
        <v>18</v>
      </c>
      <c r="D74" s="1"/>
      <c r="E74" s="12"/>
      <c r="F74" s="12"/>
      <c r="G74" s="13"/>
      <c r="H74" s="152"/>
      <c r="I74" s="152"/>
      <c r="J74" s="152"/>
    </row>
    <row r="75" spans="1:14" x14ac:dyDescent="0.25">
      <c r="A75" s="155"/>
      <c r="B75" s="158"/>
      <c r="C75" s="34" t="s">
        <v>100</v>
      </c>
      <c r="D75" s="1"/>
      <c r="E75" s="12"/>
      <c r="F75" s="12"/>
      <c r="G75" s="13"/>
      <c r="H75" s="152"/>
      <c r="I75" s="152"/>
      <c r="J75" s="152"/>
    </row>
    <row r="76" spans="1:14" x14ac:dyDescent="0.25">
      <c r="A76" s="155"/>
      <c r="B76" s="158"/>
      <c r="C76" s="34" t="s">
        <v>101</v>
      </c>
      <c r="D76" s="1"/>
      <c r="E76" s="12"/>
      <c r="F76" s="12"/>
      <c r="G76" s="13"/>
      <c r="H76" s="152"/>
      <c r="I76" s="152"/>
      <c r="J76" s="152"/>
    </row>
    <row r="77" spans="1:14" x14ac:dyDescent="0.25">
      <c r="A77" s="155"/>
      <c r="B77" s="158"/>
      <c r="C77" s="11" t="s">
        <v>19</v>
      </c>
      <c r="D77" s="14"/>
      <c r="E77" s="12"/>
      <c r="F77" s="15">
        <f>IF(D72="",0,1)+IF(D73="",0,1)+IF(D74="",0,1)+IF(D75="",0,1)+IF(D76="",0,1)</f>
        <v>0</v>
      </c>
      <c r="G77" s="13"/>
      <c r="H77" s="152"/>
      <c r="I77" s="152"/>
      <c r="J77" s="152"/>
    </row>
    <row r="78" spans="1:14" ht="6.75" customHeight="1" thickBot="1" x14ac:dyDescent="0.3">
      <c r="A78" s="156"/>
      <c r="B78" s="159"/>
      <c r="C78" s="16"/>
      <c r="D78" s="17"/>
      <c r="E78" s="17"/>
      <c r="F78" s="17"/>
      <c r="G78" s="18"/>
      <c r="H78" s="153"/>
      <c r="I78" s="153"/>
      <c r="J78" s="153"/>
    </row>
    <row r="79" spans="1:14" ht="6.75" customHeight="1" x14ac:dyDescent="0.25">
      <c r="A79" s="154">
        <v>9</v>
      </c>
      <c r="B79" s="157" t="s">
        <v>181</v>
      </c>
      <c r="C79" s="8"/>
      <c r="D79" s="9"/>
      <c r="E79" s="9"/>
      <c r="F79" s="9"/>
      <c r="G79" s="10"/>
      <c r="H79" s="151" t="str">
        <f>IF(OR(K83=1,K83=101),K80,"")</f>
        <v/>
      </c>
      <c r="I79" s="151" t="str">
        <f>IF(K83=11,L80,"")</f>
        <v/>
      </c>
      <c r="J79" s="151" t="str">
        <f>IF(K83=111,M80,"")</f>
        <v/>
      </c>
    </row>
    <row r="80" spans="1:14" x14ac:dyDescent="0.25">
      <c r="A80" s="155"/>
      <c r="B80" s="158"/>
      <c r="C80" s="11" t="s">
        <v>102</v>
      </c>
      <c r="D80" s="19"/>
      <c r="E80" s="35" t="b">
        <v>0</v>
      </c>
      <c r="F80" s="19"/>
      <c r="G80" s="20"/>
      <c r="H80" s="152"/>
      <c r="I80" s="152"/>
      <c r="J80" s="152"/>
      <c r="K80" s="5">
        <v>50</v>
      </c>
      <c r="L80" s="6">
        <v>100</v>
      </c>
      <c r="M80" s="6">
        <v>200</v>
      </c>
      <c r="N80" s="113" t="b">
        <v>0</v>
      </c>
    </row>
    <row r="81" spans="1:14" x14ac:dyDescent="0.25">
      <c r="A81" s="155"/>
      <c r="B81" s="158"/>
      <c r="C81" s="11" t="s">
        <v>103</v>
      </c>
      <c r="D81" s="19"/>
      <c r="E81" s="35" t="b">
        <v>0</v>
      </c>
      <c r="F81" s="19"/>
      <c r="G81" s="20"/>
      <c r="H81" s="152"/>
      <c r="I81" s="152"/>
      <c r="J81" s="152"/>
      <c r="K81" s="6">
        <v>4</v>
      </c>
      <c r="L81" s="6">
        <v>6</v>
      </c>
      <c r="M81" s="6">
        <v>10</v>
      </c>
      <c r="N81" s="113" t="b">
        <v>0</v>
      </c>
    </row>
    <row r="82" spans="1:14" x14ac:dyDescent="0.25">
      <c r="A82" s="155"/>
      <c r="B82" s="158"/>
      <c r="C82" s="11" t="s">
        <v>117</v>
      </c>
      <c r="D82" s="19"/>
      <c r="E82" s="35"/>
      <c r="F82" s="19"/>
      <c r="G82" s="20"/>
      <c r="H82" s="152"/>
      <c r="I82" s="152"/>
      <c r="J82" s="152"/>
      <c r="K82" s="6"/>
      <c r="N82" s="113" t="b">
        <v>0</v>
      </c>
    </row>
    <row r="83" spans="1:14" x14ac:dyDescent="0.25">
      <c r="A83" s="155"/>
      <c r="B83" s="158"/>
      <c r="C83" s="11" t="s">
        <v>104</v>
      </c>
      <c r="D83" s="2"/>
      <c r="E83" s="35"/>
      <c r="F83" s="19"/>
      <c r="G83" s="20"/>
      <c r="H83" s="152"/>
      <c r="I83" s="152"/>
      <c r="J83" s="152"/>
      <c r="K83" s="5">
        <f>IF(AND(D83&gt;=1,D84=D83,F95&gt;=K81),IF(D83&gt;1,IF(N80=TRUE,1,0),1),0)+IF(AND(F95&gt;=L81,N81=TRUE),10,0)+IF(AND(F95&gt;=M81,N82=TRUE),100,0)</f>
        <v>0</v>
      </c>
      <c r="N83" s="113"/>
    </row>
    <row r="84" spans="1:14" x14ac:dyDescent="0.25">
      <c r="A84" s="155"/>
      <c r="B84" s="158"/>
      <c r="C84" s="11" t="s">
        <v>105</v>
      </c>
      <c r="D84" s="2"/>
      <c r="E84" s="35"/>
      <c r="F84" s="19"/>
      <c r="G84" s="20"/>
      <c r="H84" s="152"/>
      <c r="I84" s="152"/>
      <c r="J84" s="152"/>
      <c r="K84" s="6"/>
      <c r="N84" s="113"/>
    </row>
    <row r="85" spans="1:14" x14ac:dyDescent="0.25">
      <c r="A85" s="155"/>
      <c r="B85" s="158"/>
      <c r="C85" s="34" t="s">
        <v>106</v>
      </c>
      <c r="D85" s="1"/>
      <c r="E85" s="12"/>
      <c r="F85" s="12"/>
      <c r="G85" s="13"/>
      <c r="H85" s="152"/>
      <c r="I85" s="152"/>
      <c r="J85" s="152"/>
      <c r="K85" s="6"/>
    </row>
    <row r="86" spans="1:14" x14ac:dyDescent="0.25">
      <c r="A86" s="155"/>
      <c r="B86" s="158"/>
      <c r="C86" s="34" t="s">
        <v>107</v>
      </c>
      <c r="D86" s="1"/>
      <c r="E86" s="12"/>
      <c r="F86" s="12"/>
      <c r="G86" s="13"/>
      <c r="H86" s="152"/>
      <c r="I86" s="152"/>
      <c r="J86" s="152"/>
    </row>
    <row r="87" spans="1:14" x14ac:dyDescent="0.25">
      <c r="A87" s="155"/>
      <c r="B87" s="158"/>
      <c r="C87" s="34" t="s">
        <v>108</v>
      </c>
      <c r="D87" s="1"/>
      <c r="E87" s="12"/>
      <c r="F87" s="12"/>
      <c r="G87" s="13"/>
      <c r="H87" s="152"/>
      <c r="I87" s="152"/>
      <c r="J87" s="152"/>
    </row>
    <row r="88" spans="1:14" x14ac:dyDescent="0.25">
      <c r="A88" s="155"/>
      <c r="B88" s="158"/>
      <c r="C88" s="34" t="s">
        <v>109</v>
      </c>
      <c r="D88" s="1"/>
      <c r="E88" s="12"/>
      <c r="F88" s="12"/>
      <c r="G88" s="13"/>
      <c r="H88" s="152"/>
      <c r="I88" s="152"/>
      <c r="J88" s="152"/>
    </row>
    <row r="89" spans="1:14" x14ac:dyDescent="0.25">
      <c r="A89" s="155"/>
      <c r="B89" s="158"/>
      <c r="C89" s="34" t="s">
        <v>110</v>
      </c>
      <c r="D89" s="1"/>
      <c r="E89" s="12"/>
      <c r="F89" s="12"/>
      <c r="G89" s="13"/>
      <c r="H89" s="152"/>
      <c r="I89" s="152"/>
      <c r="J89" s="152"/>
    </row>
    <row r="90" spans="1:14" x14ac:dyDescent="0.25">
      <c r="A90" s="155"/>
      <c r="B90" s="158"/>
      <c r="C90" s="34" t="s">
        <v>111</v>
      </c>
      <c r="D90" s="1"/>
      <c r="E90" s="12"/>
      <c r="F90" s="12"/>
      <c r="G90" s="13"/>
      <c r="H90" s="152"/>
      <c r="I90" s="152"/>
      <c r="J90" s="152"/>
    </row>
    <row r="91" spans="1:14" x14ac:dyDescent="0.25">
      <c r="A91" s="155"/>
      <c r="B91" s="158"/>
      <c r="C91" s="34" t="s">
        <v>112</v>
      </c>
      <c r="D91" s="1"/>
      <c r="E91" s="12"/>
      <c r="F91" s="12"/>
      <c r="G91" s="13"/>
      <c r="H91" s="152"/>
      <c r="I91" s="152"/>
      <c r="J91" s="152"/>
    </row>
    <row r="92" spans="1:14" x14ac:dyDescent="0.25">
      <c r="A92" s="155"/>
      <c r="B92" s="158"/>
      <c r="C92" s="34" t="s">
        <v>113</v>
      </c>
      <c r="D92" s="1"/>
      <c r="E92" s="12"/>
      <c r="F92" s="12"/>
      <c r="G92" s="13"/>
      <c r="H92" s="152"/>
      <c r="I92" s="152"/>
      <c r="J92" s="152"/>
    </row>
    <row r="93" spans="1:14" x14ac:dyDescent="0.25">
      <c r="A93" s="155"/>
      <c r="B93" s="158"/>
      <c r="C93" s="34" t="s">
        <v>114</v>
      </c>
      <c r="D93" s="1"/>
      <c r="E93" s="12"/>
      <c r="F93" s="12"/>
      <c r="G93" s="13"/>
      <c r="H93" s="152"/>
      <c r="I93" s="152"/>
      <c r="J93" s="152"/>
    </row>
    <row r="94" spans="1:14" x14ac:dyDescent="0.25">
      <c r="A94" s="155"/>
      <c r="B94" s="158"/>
      <c r="C94" s="34" t="s">
        <v>115</v>
      </c>
      <c r="D94" s="1"/>
      <c r="E94" s="12"/>
      <c r="F94" s="12"/>
      <c r="G94" s="13"/>
      <c r="H94" s="152"/>
      <c r="I94" s="152"/>
      <c r="J94" s="152"/>
    </row>
    <row r="95" spans="1:14" x14ac:dyDescent="0.25">
      <c r="A95" s="155"/>
      <c r="B95" s="158"/>
      <c r="C95" s="11" t="s">
        <v>116</v>
      </c>
      <c r="D95" s="14"/>
      <c r="E95" s="12"/>
      <c r="F95" s="15">
        <f>IF(D85="",0,1)+IF(D86="",0,1)+IF(D87="",0,1)+IF(D88="",0,1)+IF(D89="",0,1)+IF(D90="",0,1)+IF(D91="",0,1)+IF(D92="",0,1)+IF(D93="",0,1)+IF(D94="",0,1)</f>
        <v>0</v>
      </c>
      <c r="G95" s="13"/>
      <c r="H95" s="152"/>
      <c r="I95" s="152"/>
      <c r="J95" s="152"/>
    </row>
    <row r="96" spans="1:14" ht="6.75" customHeight="1" thickBot="1" x14ac:dyDescent="0.3">
      <c r="A96" s="156"/>
      <c r="B96" s="159"/>
      <c r="C96" s="16"/>
      <c r="D96" s="17"/>
      <c r="E96" s="17"/>
      <c r="F96" s="17"/>
      <c r="G96" s="18"/>
      <c r="H96" s="153"/>
      <c r="I96" s="153"/>
      <c r="J96" s="153"/>
    </row>
    <row r="97" spans="1:14" ht="15" customHeight="1" thickBot="1" x14ac:dyDescent="0.3">
      <c r="A97" s="105"/>
      <c r="B97" s="106" t="s">
        <v>24</v>
      </c>
      <c r="C97" s="107"/>
      <c r="D97" s="107"/>
      <c r="E97" s="107"/>
      <c r="F97" s="107"/>
      <c r="G97" s="107"/>
      <c r="H97" s="107"/>
      <c r="I97" s="107"/>
      <c r="J97" s="108"/>
    </row>
    <row r="98" spans="1:14" ht="6.75" customHeight="1" x14ac:dyDescent="0.25">
      <c r="A98" s="154">
        <v>10</v>
      </c>
      <c r="B98" s="157" t="s">
        <v>182</v>
      </c>
      <c r="C98" s="8"/>
      <c r="D98" s="9"/>
      <c r="E98" s="9"/>
      <c r="F98" s="9"/>
      <c r="G98" s="10"/>
      <c r="H98" s="151" t="str">
        <f>IF(K102=1,K99,"")</f>
        <v/>
      </c>
      <c r="I98" s="151" t="str">
        <f>IF(K102=11,L99,"")</f>
        <v/>
      </c>
      <c r="J98" s="151" t="str">
        <f>IF(K102=111,M99,"")</f>
        <v/>
      </c>
    </row>
    <row r="99" spans="1:14" x14ac:dyDescent="0.25">
      <c r="A99" s="155"/>
      <c r="B99" s="158"/>
      <c r="C99" s="11" t="s">
        <v>118</v>
      </c>
      <c r="D99" s="19"/>
      <c r="E99" s="35" t="b">
        <v>1</v>
      </c>
      <c r="F99" s="19"/>
      <c r="G99" s="20"/>
      <c r="H99" s="152"/>
      <c r="I99" s="152"/>
      <c r="J99" s="152"/>
      <c r="K99" s="5">
        <v>50</v>
      </c>
      <c r="L99" s="6">
        <v>100</v>
      </c>
      <c r="M99" s="6">
        <v>200</v>
      </c>
      <c r="N99" s="113" t="b">
        <v>0</v>
      </c>
    </row>
    <row r="100" spans="1:14" x14ac:dyDescent="0.25">
      <c r="A100" s="155"/>
      <c r="B100" s="158"/>
      <c r="C100" s="31" t="s">
        <v>124</v>
      </c>
      <c r="D100" s="2"/>
      <c r="E100" s="33" t="b">
        <v>1</v>
      </c>
      <c r="F100" s="12"/>
      <c r="G100" s="13"/>
      <c r="H100" s="152"/>
      <c r="I100" s="152"/>
      <c r="J100" s="152"/>
      <c r="K100" s="6">
        <v>3</v>
      </c>
      <c r="L100" s="6">
        <v>2</v>
      </c>
      <c r="M100" s="6">
        <v>3</v>
      </c>
      <c r="N100" s="113"/>
    </row>
    <row r="101" spans="1:14" x14ac:dyDescent="0.25">
      <c r="A101" s="155"/>
      <c r="B101" s="158"/>
      <c r="C101" s="110" t="s">
        <v>123</v>
      </c>
      <c r="D101" s="2"/>
      <c r="E101" s="33"/>
      <c r="F101" s="12"/>
      <c r="G101" s="13"/>
      <c r="H101" s="152"/>
      <c r="I101" s="152"/>
      <c r="J101" s="152"/>
      <c r="K101" s="6"/>
      <c r="N101" s="113"/>
    </row>
    <row r="102" spans="1:14" x14ac:dyDescent="0.25">
      <c r="A102" s="155"/>
      <c r="B102" s="158"/>
      <c r="C102" s="34" t="s">
        <v>119</v>
      </c>
      <c r="D102" s="1"/>
      <c r="E102" s="12"/>
      <c r="F102" s="12"/>
      <c r="G102" s="13"/>
      <c r="H102" s="152"/>
      <c r="I102" s="152"/>
      <c r="J102" s="152"/>
      <c r="K102" s="5">
        <f>IF(AND(N99=TRUE,D100&gt;=1,D101&gt;=K100),1,0)+IF(F105&gt;=L100,10,0)+IF(F105&gt;=M100,100,0)</f>
        <v>0</v>
      </c>
    </row>
    <row r="103" spans="1:14" x14ac:dyDescent="0.25">
      <c r="A103" s="155"/>
      <c r="B103" s="158"/>
      <c r="C103" s="34" t="s">
        <v>120</v>
      </c>
      <c r="D103" s="1"/>
      <c r="E103" s="12"/>
      <c r="F103" s="12"/>
      <c r="G103" s="13"/>
      <c r="H103" s="152"/>
      <c r="I103" s="152"/>
      <c r="J103" s="152"/>
    </row>
    <row r="104" spans="1:14" x14ac:dyDescent="0.25">
      <c r="A104" s="155"/>
      <c r="B104" s="158"/>
      <c r="C104" s="34" t="s">
        <v>121</v>
      </c>
      <c r="D104" s="1"/>
      <c r="E104" s="12"/>
      <c r="F104" s="12"/>
      <c r="G104" s="13"/>
      <c r="H104" s="152"/>
      <c r="I104" s="152"/>
      <c r="J104" s="152"/>
    </row>
    <row r="105" spans="1:14" x14ac:dyDescent="0.25">
      <c r="A105" s="155"/>
      <c r="B105" s="158"/>
      <c r="C105" s="31" t="s">
        <v>122</v>
      </c>
      <c r="D105" s="14"/>
      <c r="E105" s="12"/>
      <c r="F105" s="15">
        <f>IF(D102="",0,1)+IF(D103="",0,1)+IF(D104="",0,1)</f>
        <v>0</v>
      </c>
      <c r="G105" s="13"/>
      <c r="H105" s="152"/>
      <c r="I105" s="152"/>
      <c r="J105" s="152"/>
    </row>
    <row r="106" spans="1:14" ht="18" customHeight="1" thickBot="1" x14ac:dyDescent="0.3">
      <c r="A106" s="156"/>
      <c r="B106" s="159"/>
      <c r="C106" s="16"/>
      <c r="D106" s="17"/>
      <c r="E106" s="17"/>
      <c r="F106" s="17"/>
      <c r="G106" s="18"/>
      <c r="H106" s="153"/>
      <c r="I106" s="153"/>
      <c r="J106" s="153"/>
    </row>
    <row r="107" spans="1:14" ht="6.75" customHeight="1" x14ac:dyDescent="0.25">
      <c r="A107" s="154">
        <v>11</v>
      </c>
      <c r="B107" s="157" t="s">
        <v>183</v>
      </c>
      <c r="C107" s="8"/>
      <c r="D107" s="9"/>
      <c r="E107" s="9"/>
      <c r="F107" s="9"/>
      <c r="G107" s="10"/>
      <c r="H107" s="151" t="str">
        <f>IF(OR(K111=1,K111=101),K108,"")</f>
        <v/>
      </c>
      <c r="I107" s="151" t="str">
        <f>IF(K111=11,L108,"")</f>
        <v/>
      </c>
      <c r="J107" s="151" t="str">
        <f>IF(K111=111,M108,"")</f>
        <v/>
      </c>
    </row>
    <row r="108" spans="1:14" x14ac:dyDescent="0.25">
      <c r="A108" s="155"/>
      <c r="B108" s="158"/>
      <c r="C108" s="34" t="s">
        <v>144</v>
      </c>
      <c r="D108" s="19"/>
      <c r="E108" s="35" t="b">
        <v>1</v>
      </c>
      <c r="F108" s="19"/>
      <c r="G108" s="20"/>
      <c r="H108" s="152"/>
      <c r="I108" s="152"/>
      <c r="J108" s="152"/>
      <c r="K108" s="5">
        <v>50</v>
      </c>
      <c r="L108" s="6">
        <v>100</v>
      </c>
      <c r="M108" s="6">
        <v>200</v>
      </c>
      <c r="N108" s="113" t="b">
        <v>0</v>
      </c>
    </row>
    <row r="109" spans="1:14" x14ac:dyDescent="0.25">
      <c r="A109" s="155"/>
      <c r="B109" s="158"/>
      <c r="C109" s="11" t="s">
        <v>145</v>
      </c>
      <c r="D109" s="19"/>
      <c r="E109" s="35" t="b">
        <v>1</v>
      </c>
      <c r="F109" s="19"/>
      <c r="G109" s="20"/>
      <c r="H109" s="152"/>
      <c r="I109" s="152"/>
      <c r="J109" s="152"/>
      <c r="K109" s="6"/>
      <c r="L109" s="6">
        <v>0.6</v>
      </c>
      <c r="M109" s="6">
        <v>0.6666666</v>
      </c>
      <c r="N109" s="113" t="b">
        <v>0</v>
      </c>
    </row>
    <row r="110" spans="1:14" x14ac:dyDescent="0.25">
      <c r="A110" s="155"/>
      <c r="B110" s="158"/>
      <c r="C110" s="31" t="s">
        <v>124</v>
      </c>
      <c r="D110" s="116"/>
      <c r="E110" s="116"/>
      <c r="F110" s="21">
        <f>D100</f>
        <v>0</v>
      </c>
      <c r="G110" s="20"/>
      <c r="H110" s="152"/>
      <c r="I110" s="152"/>
      <c r="J110" s="152"/>
      <c r="K110" s="6"/>
      <c r="N110" s="113"/>
    </row>
    <row r="111" spans="1:14" x14ac:dyDescent="0.25">
      <c r="A111" s="155"/>
      <c r="B111" s="158"/>
      <c r="C111" s="34" t="s">
        <v>21</v>
      </c>
      <c r="D111" s="2"/>
      <c r="G111" s="13"/>
      <c r="H111" s="152"/>
      <c r="I111" s="152"/>
      <c r="J111" s="152"/>
      <c r="K111" s="5">
        <f>IF(OR(N108=TRUE,F112&gt;0),1,0)+IF(AND(N108=TRUE,F112&gt;=L109),10,0)+IF(AND(F115&gt;=M109,N109=TRUE),100,0)</f>
        <v>0</v>
      </c>
    </row>
    <row r="112" spans="1:14" x14ac:dyDescent="0.25">
      <c r="A112" s="155"/>
      <c r="B112" s="158"/>
      <c r="C112" s="76" t="s">
        <v>129</v>
      </c>
      <c r="D112" s="36"/>
      <c r="E112" s="12"/>
      <c r="F112" s="24">
        <f>IF(F110=0,0,IF(D111&gt;F110,1,D111/F110))</f>
        <v>0</v>
      </c>
      <c r="G112" s="13"/>
      <c r="H112" s="152"/>
      <c r="I112" s="152"/>
      <c r="J112" s="152"/>
      <c r="K112" s="6"/>
    </row>
    <row r="113" spans="1:13" x14ac:dyDescent="0.25">
      <c r="A113" s="155"/>
      <c r="B113" s="158"/>
      <c r="C113" s="31" t="s">
        <v>20</v>
      </c>
      <c r="D113" s="14"/>
      <c r="E113" s="12"/>
      <c r="F113" s="15">
        <f>D101</f>
        <v>0</v>
      </c>
      <c r="G113" s="13"/>
      <c r="H113" s="152"/>
      <c r="I113" s="152"/>
      <c r="J113" s="152"/>
    </row>
    <row r="114" spans="1:13" ht="13.7" customHeight="1" x14ac:dyDescent="0.25">
      <c r="A114" s="155"/>
      <c r="B114" s="158"/>
      <c r="C114" s="34" t="s">
        <v>21</v>
      </c>
      <c r="D114" s="2"/>
      <c r="E114" s="12"/>
      <c r="F114" s="12"/>
      <c r="G114" s="13"/>
      <c r="H114" s="152"/>
      <c r="I114" s="152"/>
      <c r="J114" s="152"/>
    </row>
    <row r="115" spans="1:13" x14ac:dyDescent="0.25">
      <c r="A115" s="155"/>
      <c r="B115" s="158"/>
      <c r="C115" s="76" t="s">
        <v>62</v>
      </c>
      <c r="D115" s="14"/>
      <c r="E115" s="12"/>
      <c r="F115" s="24">
        <f>IF(F113=0,0,IF(D114&gt;F113,1,D114/F113))</f>
        <v>0</v>
      </c>
      <c r="G115" s="13"/>
      <c r="H115" s="152"/>
      <c r="I115" s="152"/>
      <c r="J115" s="152"/>
    </row>
    <row r="116" spans="1:13" ht="6.75" customHeight="1" thickBot="1" x14ac:dyDescent="0.3">
      <c r="A116" s="156"/>
      <c r="B116" s="159"/>
      <c r="C116" s="16"/>
      <c r="D116" s="17"/>
      <c r="E116" s="17"/>
      <c r="F116" s="17"/>
      <c r="G116" s="18"/>
      <c r="H116" s="153"/>
      <c r="I116" s="153"/>
      <c r="J116" s="153"/>
    </row>
    <row r="117" spans="1:13" ht="15" customHeight="1" thickBot="1" x14ac:dyDescent="0.3">
      <c r="A117" s="105"/>
      <c r="B117" s="107"/>
      <c r="C117" s="107"/>
      <c r="D117" s="107"/>
      <c r="E117" s="107"/>
      <c r="F117" s="107"/>
      <c r="G117" s="107"/>
      <c r="H117" s="107"/>
      <c r="I117" s="107"/>
      <c r="J117" s="108"/>
    </row>
    <row r="118" spans="1:13" x14ac:dyDescent="0.25">
      <c r="H118" s="37">
        <f>SUM(H6:H116)</f>
        <v>0</v>
      </c>
      <c r="I118" s="37">
        <f>SUM(I6:I116)</f>
        <v>0</v>
      </c>
      <c r="J118" s="37">
        <f>SUM(J6:J116)</f>
        <v>0</v>
      </c>
    </row>
    <row r="119" spans="1:13" ht="15.75" thickBot="1" x14ac:dyDescent="0.3">
      <c r="A119" s="38" t="str">
        <f>IF(D119=1,"®","")</f>
        <v/>
      </c>
      <c r="B119" s="39" t="s">
        <v>29</v>
      </c>
      <c r="C119" s="40"/>
      <c r="D119" s="41">
        <f>IF(AND(J119&gt;=K119,J121&gt;=K121),1,0)+IF(AND(J119&gt;=L119,J121&gt;=L121),10,0)+IF(AND(J119&gt;=M119,J121&gt;=M121,K55+K67&gt;0),100,0)</f>
        <v>0</v>
      </c>
      <c r="F119" s="42" t="s">
        <v>30</v>
      </c>
      <c r="G119" s="42"/>
      <c r="H119" s="42"/>
      <c r="I119" s="42"/>
      <c r="J119" s="43">
        <f>H118+I118+J118</f>
        <v>0</v>
      </c>
      <c r="K119" s="5">
        <v>525</v>
      </c>
      <c r="L119" s="6">
        <v>750</v>
      </c>
      <c r="M119" s="6">
        <v>1000</v>
      </c>
    </row>
    <row r="120" spans="1:13" x14ac:dyDescent="0.25">
      <c r="A120" s="38" t="str">
        <f>IF(D119=11,"®","")</f>
        <v/>
      </c>
      <c r="B120" s="109" t="s">
        <v>85</v>
      </c>
      <c r="C120" s="40"/>
      <c r="D120" s="44"/>
      <c r="E120" s="42"/>
      <c r="F120" s="45"/>
      <c r="G120" s="45"/>
      <c r="H120" s="46">
        <f>COUNTIF(H6:H116,"&gt;0")</f>
        <v>0</v>
      </c>
      <c r="I120" s="46">
        <f>COUNTIF(I6:I116,"&gt;0")</f>
        <v>0</v>
      </c>
      <c r="J120" s="46">
        <f>COUNTIF(J6:J116,"&gt;0")</f>
        <v>0</v>
      </c>
    </row>
    <row r="121" spans="1:13" ht="15.75" thickBot="1" x14ac:dyDescent="0.3">
      <c r="A121" s="38" t="str">
        <f>IF(D119=111,"®","")</f>
        <v/>
      </c>
      <c r="B121" s="109" t="s">
        <v>149</v>
      </c>
      <c r="C121" s="40"/>
      <c r="D121" s="40"/>
      <c r="F121" s="42" t="s">
        <v>31</v>
      </c>
      <c r="G121" s="45"/>
      <c r="I121" s="47"/>
      <c r="J121" s="48">
        <f>H120+I120+J120</f>
        <v>0</v>
      </c>
      <c r="K121" s="5">
        <v>7</v>
      </c>
      <c r="L121" s="6">
        <v>8</v>
      </c>
      <c r="M121" s="6">
        <v>8</v>
      </c>
    </row>
    <row r="123" spans="1:13" ht="21" x14ac:dyDescent="0.3">
      <c r="B123" s="49"/>
    </row>
    <row r="124" spans="1:13" ht="21" x14ac:dyDescent="0.3">
      <c r="B124" s="49"/>
    </row>
    <row r="125" spans="1:13" ht="21" x14ac:dyDescent="0.3">
      <c r="B125" s="49"/>
    </row>
    <row r="126" spans="1:13" ht="21" x14ac:dyDescent="0.3">
      <c r="B126" s="49"/>
    </row>
    <row r="127" spans="1:13" ht="21" x14ac:dyDescent="0.3">
      <c r="B127" s="49"/>
    </row>
    <row r="128" spans="1:13" ht="21" x14ac:dyDescent="0.3">
      <c r="B128" s="49"/>
    </row>
    <row r="129" spans="2:2" ht="21" x14ac:dyDescent="0.3">
      <c r="B129" s="49"/>
    </row>
    <row r="130" spans="2:2" ht="21" x14ac:dyDescent="0.3">
      <c r="B130" s="49"/>
    </row>
    <row r="131" spans="2:2" ht="21" x14ac:dyDescent="0.3">
      <c r="B131" s="49"/>
    </row>
  </sheetData>
  <sheetProtection algorithmName="SHA-512" hashValue="vBG/hNAcmbyQ1A6RkxJJJCrSqkFYm+nnw+WXDHZ5Dmw0jq5CQmPCE+/91Xiq9sjT968HkINW8Xd/kXq2GsPRvw==" saltValue="AoOhy9jT55+FwLK1oDRAdA==" spinCount="100000" sheet="1" selectLockedCells="1"/>
  <mergeCells count="58">
    <mergeCell ref="I69:I78"/>
    <mergeCell ref="J69:J78"/>
    <mergeCell ref="A47:A51"/>
    <mergeCell ref="B47:B51"/>
    <mergeCell ref="H47:H51"/>
    <mergeCell ref="I47:I51"/>
    <mergeCell ref="J47:J51"/>
    <mergeCell ref="A64:A68"/>
    <mergeCell ref="B64:B68"/>
    <mergeCell ref="H64:H68"/>
    <mergeCell ref="I64:I68"/>
    <mergeCell ref="J64:J68"/>
    <mergeCell ref="A69:A78"/>
    <mergeCell ref="B69:B78"/>
    <mergeCell ref="H69:H78"/>
    <mergeCell ref="J40:J45"/>
    <mergeCell ref="I18:I32"/>
    <mergeCell ref="J18:J32"/>
    <mergeCell ref="B18:B32"/>
    <mergeCell ref="A6:A16"/>
    <mergeCell ref="B6:B16"/>
    <mergeCell ref="H6:H16"/>
    <mergeCell ref="I6:I16"/>
    <mergeCell ref="J6:J16"/>
    <mergeCell ref="J33:J39"/>
    <mergeCell ref="A18:A32"/>
    <mergeCell ref="H18:H32"/>
    <mergeCell ref="A1:J1"/>
    <mergeCell ref="A2:J2"/>
    <mergeCell ref="J52:J63"/>
    <mergeCell ref="A52:A63"/>
    <mergeCell ref="B52:B63"/>
    <mergeCell ref="H52:H63"/>
    <mergeCell ref="I52:I63"/>
    <mergeCell ref="C20:D20"/>
    <mergeCell ref="A33:A39"/>
    <mergeCell ref="B33:B39"/>
    <mergeCell ref="H33:H39"/>
    <mergeCell ref="I33:I39"/>
    <mergeCell ref="A40:A45"/>
    <mergeCell ref="B40:B45"/>
    <mergeCell ref="H40:H45"/>
    <mergeCell ref="I40:I45"/>
    <mergeCell ref="J107:J116"/>
    <mergeCell ref="A79:A96"/>
    <mergeCell ref="B79:B96"/>
    <mergeCell ref="H79:H96"/>
    <mergeCell ref="I79:I96"/>
    <mergeCell ref="J79:J96"/>
    <mergeCell ref="A98:A106"/>
    <mergeCell ref="B98:B106"/>
    <mergeCell ref="H98:H106"/>
    <mergeCell ref="I98:I106"/>
    <mergeCell ref="J98:J106"/>
    <mergeCell ref="A107:A116"/>
    <mergeCell ref="B107:B116"/>
    <mergeCell ref="H107:H116"/>
    <mergeCell ref="I107:I116"/>
  </mergeCells>
  <conditionalFormatting sqref="D24 D28">
    <cfRule type="expression" dxfId="33" priority="58">
      <formula>$N$20</formula>
    </cfRule>
  </conditionalFormatting>
  <dataValidations xWindow="703" yWindow="458" count="12">
    <dataValidation type="whole" operator="greaterThanOrEqual" allowBlank="1" showInputMessage="1" showErrorMessage="1" errorTitle="Number Invalid" error="Must be whole number." sqref="D110:E110 D100 D65:D66 D44 D49 D83 D22:D28" xr:uid="{00000000-0002-0000-0100-000000000000}">
      <formula1>0</formula1>
    </dataValidation>
    <dataValidation type="whole" operator="greaterThanOrEqual" allowBlank="1" showInputMessage="1" showErrorMessage="1" errorTitle="Number Invalid" error="Must be whole number." sqref="D101" xr:uid="{00000000-0002-0000-0100-000001000000}">
      <formula1>1</formula1>
    </dataValidation>
    <dataValidation type="whole" allowBlank="1" showInputMessage="1" showErrorMessage="1" errorTitle="Number Invalid" error="Must be whole number thst is not greater than the number of patrols." sqref="D84" xr:uid="{A33C9625-B1D8-478D-9E23-D7ED19673B60}">
      <formula1>0</formula1>
      <formula2>D83</formula2>
    </dataValidation>
    <dataValidation type="whole" allowBlank="1" showInputMessage="1" showErrorMessage="1" errorTitle="Number Invalid" error="Must be whole number not greater than the total number of committee members." sqref="D114" xr:uid="{00000000-0002-0000-0100-000003000000}">
      <formula1>0</formula1>
      <formula2>F113</formula2>
    </dataValidation>
    <dataValidation type="whole" operator="greaterThan" allowBlank="1" showInputMessage="1" showErrorMessage="1" errorTitle="Number Invalid" error="Must be whole number." sqref="D29" xr:uid="{00000000-0002-0000-0100-000006000000}">
      <formula1>0</formula1>
    </dataValidation>
    <dataValidation type="whole" allowBlank="1" showInputMessage="1" showErrorMessage="1" errorTitle="Number Invalid" error="Must be whole number that is no greater than the end of charter membership. (Cell D30)" sqref="D25" xr:uid="{00000000-0002-0000-0100-000008000000}">
      <formula1>0</formula1>
      <formula2>D34</formula2>
    </dataValidation>
    <dataValidation type="whole" allowBlank="1" showInputMessage="1" showErrorMessage="1" errorTitle="Number Invalid" error="Must be whole number not greater than the total number of assistant Scoutmasters." sqref="D111" xr:uid="{00000000-0002-0000-0100-000009000000}">
      <formula1>0</formula1>
      <formula2>F110</formula2>
    </dataValidation>
    <dataValidation type="date" allowBlank="1" showInputMessage="1" showErrorMessage="1" errorTitle="Date Out of Range" error="Date must be during 2020." sqref="D21" xr:uid="{00000000-0002-0000-0100-00000A000000}">
      <formula1>44197</formula1>
      <formula2>44561</formula2>
    </dataValidation>
    <dataValidation type="date" allowBlank="1" showInputMessage="1" showErrorMessage="1" errorTitle="Date Out of Range" error="Date must be in 2020 or 2021." sqref="D7:D8" xr:uid="{0495FB73-B294-4E90-AC12-6BDEDFFEAD40}">
      <formula1>43831</formula1>
      <formula2>44561</formula2>
    </dataValidation>
    <dataValidation type="whole" operator="greaterThanOrEqual" allowBlank="1" showInputMessage="1" showErrorMessage="1" error="Current membership cannot be less than zero." sqref="D30" xr:uid="{94625033-BF34-4698-A260-A71BB8F72F98}">
      <formula1>0</formula1>
    </dataValidation>
    <dataValidation type="date" allowBlank="1" showInputMessage="1" showErrorMessage="1" errorTitle="Date Out of Range" error="Date must be during 2021." sqref="D9:D14 D53:D61 D72:D76 D85:D94 D102:D104" xr:uid="{E69CE36B-C385-4E8F-9E7D-1018BD9ABAC0}">
      <formula1>44197</formula1>
      <formula2>44561</formula2>
    </dataValidation>
    <dataValidation type="date" allowBlank="1" showInputMessage="1" showErrorMessage="1" errorTitle="Date Out of Range" error="Date must be in 2020 or 21." sqref="D41:D42" xr:uid="{8310EBEF-22D1-4251-B3B8-09392F3C42F5}">
      <formula1>43831</formula1>
      <formula2>44561</formula2>
    </dataValidation>
  </dataValidations>
  <printOptions horizontalCentered="1"/>
  <pageMargins left="0.4" right="0.4" top="0.5" bottom="0.5" header="0.3" footer="0.3"/>
  <pageSetup scale="73" fitToHeight="2" orientation="portrait" horizontalDpi="4294967293" verticalDpi="4294967293" r:id="rId1"/>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3</xdr:col>
                    <xdr:colOff>85725</xdr:colOff>
                    <xdr:row>69</xdr:row>
                    <xdr:rowOff>9525</xdr:rowOff>
                  </from>
                  <to>
                    <xdr:col>3</xdr:col>
                    <xdr:colOff>504825</xdr:colOff>
                    <xdr:row>69</xdr:row>
                    <xdr:rowOff>180975</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3</xdr:col>
                    <xdr:colOff>85725</xdr:colOff>
                    <xdr:row>70</xdr:row>
                    <xdr:rowOff>9525</xdr:rowOff>
                  </from>
                  <to>
                    <xdr:col>3</xdr:col>
                    <xdr:colOff>523875</xdr:colOff>
                    <xdr:row>71</xdr:row>
                    <xdr:rowOff>0</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3</xdr:col>
                    <xdr:colOff>85725</xdr:colOff>
                    <xdr:row>79</xdr:row>
                    <xdr:rowOff>9525</xdr:rowOff>
                  </from>
                  <to>
                    <xdr:col>3</xdr:col>
                    <xdr:colOff>523875</xdr:colOff>
                    <xdr:row>80</xdr:row>
                    <xdr:rowOff>0</xdr:rowOff>
                  </to>
                </anchor>
              </controlPr>
            </control>
          </mc:Choice>
        </mc:AlternateContent>
        <mc:AlternateContent xmlns:mc="http://schemas.openxmlformats.org/markup-compatibility/2006">
          <mc:Choice Requires="x14">
            <control shapeId="1056" r:id="rId7" name="Check Box 32">
              <controlPr defaultSize="0" autoFill="0" autoLine="0" autoPict="0">
                <anchor moveWithCells="1">
                  <from>
                    <xdr:col>3</xdr:col>
                    <xdr:colOff>85725</xdr:colOff>
                    <xdr:row>80</xdr:row>
                    <xdr:rowOff>9525</xdr:rowOff>
                  </from>
                  <to>
                    <xdr:col>3</xdr:col>
                    <xdr:colOff>523875</xdr:colOff>
                    <xdr:row>81</xdr:row>
                    <xdr:rowOff>0</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3</xdr:col>
                    <xdr:colOff>85725</xdr:colOff>
                    <xdr:row>98</xdr:row>
                    <xdr:rowOff>9525</xdr:rowOff>
                  </from>
                  <to>
                    <xdr:col>3</xdr:col>
                    <xdr:colOff>523875</xdr:colOff>
                    <xdr:row>99</xdr:row>
                    <xdr:rowOff>0</xdr:rowOff>
                  </to>
                </anchor>
              </controlPr>
            </control>
          </mc:Choice>
        </mc:AlternateContent>
        <mc:AlternateContent xmlns:mc="http://schemas.openxmlformats.org/markup-compatibility/2006">
          <mc:Choice Requires="x14">
            <control shapeId="1063" r:id="rId9" name="Check Box 39">
              <controlPr defaultSize="0" autoFill="0" autoLine="0" autoPict="0">
                <anchor moveWithCells="1">
                  <from>
                    <xdr:col>3</xdr:col>
                    <xdr:colOff>85725</xdr:colOff>
                    <xdr:row>107</xdr:row>
                    <xdr:rowOff>9525</xdr:rowOff>
                  </from>
                  <to>
                    <xdr:col>3</xdr:col>
                    <xdr:colOff>523875</xdr:colOff>
                    <xdr:row>108</xdr:row>
                    <xdr:rowOff>0</xdr:rowOff>
                  </to>
                </anchor>
              </controlPr>
            </control>
          </mc:Choice>
        </mc:AlternateContent>
        <mc:AlternateContent xmlns:mc="http://schemas.openxmlformats.org/markup-compatibility/2006">
          <mc:Choice Requires="x14">
            <control shapeId="1065" r:id="rId10" name="Check Box 41">
              <controlPr defaultSize="0" autoFill="0" autoLine="0" autoPict="0">
                <anchor moveWithCells="1">
                  <from>
                    <xdr:col>3</xdr:col>
                    <xdr:colOff>85725</xdr:colOff>
                    <xdr:row>108</xdr:row>
                    <xdr:rowOff>9525</xdr:rowOff>
                  </from>
                  <to>
                    <xdr:col>3</xdr:col>
                    <xdr:colOff>523875</xdr:colOff>
                    <xdr:row>109</xdr:row>
                    <xdr:rowOff>0</xdr:rowOff>
                  </to>
                </anchor>
              </controlPr>
            </control>
          </mc:Choice>
        </mc:AlternateContent>
        <mc:AlternateContent xmlns:mc="http://schemas.openxmlformats.org/markup-compatibility/2006">
          <mc:Choice Requires="x14">
            <control shapeId="1087" r:id="rId11" name="Check Box 63">
              <controlPr defaultSize="0" autoFill="0" autoLine="0" autoPict="0">
                <anchor moveWithCells="1">
                  <from>
                    <xdr:col>3</xdr:col>
                    <xdr:colOff>85725</xdr:colOff>
                    <xdr:row>81</xdr:row>
                    <xdr:rowOff>9525</xdr:rowOff>
                  </from>
                  <to>
                    <xdr:col>3</xdr:col>
                    <xdr:colOff>523875</xdr:colOff>
                    <xdr:row>82</xdr:row>
                    <xdr:rowOff>0</xdr:rowOff>
                  </to>
                </anchor>
              </controlPr>
            </control>
          </mc:Choice>
        </mc:AlternateContent>
        <mc:AlternateContent xmlns:mc="http://schemas.openxmlformats.org/markup-compatibility/2006">
          <mc:Choice Requires="x14">
            <control shapeId="1097" r:id="rId12" name="Check Box 73">
              <controlPr defaultSize="0" autoFill="0" autoLine="0" autoPict="0">
                <anchor moveWithCells="1">
                  <from>
                    <xdr:col>2</xdr:col>
                    <xdr:colOff>3543300</xdr:colOff>
                    <xdr:row>30</xdr:row>
                    <xdr:rowOff>180975</xdr:rowOff>
                  </from>
                  <to>
                    <xdr:col>2</xdr:col>
                    <xdr:colOff>3962400</xdr:colOff>
                    <xdr:row>31</xdr:row>
                    <xdr:rowOff>152400</xdr:rowOff>
                  </to>
                </anchor>
              </controlPr>
            </control>
          </mc:Choice>
        </mc:AlternateContent>
        <mc:AlternateContent xmlns:mc="http://schemas.openxmlformats.org/markup-compatibility/2006">
          <mc:Choice Requires="x14">
            <control shapeId="1101" r:id="rId13" name="Check Box 77">
              <controlPr defaultSize="0" autoFill="0" autoLine="0" autoPict="0">
                <anchor moveWithCells="1">
                  <from>
                    <xdr:col>3</xdr:col>
                    <xdr:colOff>590550</xdr:colOff>
                    <xdr:row>17</xdr:row>
                    <xdr:rowOff>19050</xdr:rowOff>
                  </from>
                  <to>
                    <xdr:col>5</xdr:col>
                    <xdr:colOff>123825</xdr:colOff>
                    <xdr:row>20</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38"/>
  <sheetViews>
    <sheetView showGridLines="0" zoomScale="85" zoomScaleNormal="85" workbookViewId="0">
      <selection activeCell="C12" sqref="C12"/>
    </sheetView>
  </sheetViews>
  <sheetFormatPr defaultColWidth="9.140625" defaultRowHeight="12.75" x14ac:dyDescent="0.2"/>
  <cols>
    <col min="1" max="1" width="6.85546875" style="55" customWidth="1"/>
    <col min="2" max="2" width="41" style="54" customWidth="1"/>
    <col min="3" max="5" width="25.7109375" style="56" customWidth="1"/>
    <col min="6" max="8" width="9.140625" style="54"/>
    <col min="9" max="11" width="9.140625" style="54" hidden="1" customWidth="1"/>
    <col min="12" max="16384" width="9.140625" style="54"/>
  </cols>
  <sheetData>
    <row r="1" spans="1:11" s="53" customFormat="1" ht="27.2" customHeight="1" x14ac:dyDescent="0.5">
      <c r="A1" s="171" t="str">
        <f>"Troop "&amp;'Setup &amp; Instructions'!C5&amp;" of "&amp;'Setup &amp; Instructions'!C7&amp;" District"</f>
        <v>Troop  of  District</v>
      </c>
      <c r="B1" s="171"/>
      <c r="C1" s="171"/>
      <c r="D1" s="171"/>
      <c r="E1" s="171"/>
      <c r="F1" s="171"/>
      <c r="G1" s="171"/>
      <c r="H1" s="171"/>
    </row>
    <row r="2" spans="1:11" ht="19.7" customHeight="1" x14ac:dyDescent="0.5">
      <c r="A2" s="172" t="s">
        <v>163</v>
      </c>
      <c r="B2" s="172"/>
      <c r="C2" s="172"/>
      <c r="D2" s="172"/>
      <c r="E2" s="172"/>
      <c r="F2" s="172"/>
      <c r="G2" s="172"/>
      <c r="H2" s="172"/>
    </row>
    <row r="3" spans="1:11" ht="31.35" customHeight="1" thickBot="1" x14ac:dyDescent="0.25">
      <c r="A3" s="176" t="s">
        <v>150</v>
      </c>
      <c r="B3" s="176"/>
      <c r="C3" s="176"/>
      <c r="D3" s="176"/>
      <c r="E3" s="176"/>
      <c r="F3" s="176"/>
      <c r="G3" s="176"/>
      <c r="H3" s="176"/>
    </row>
    <row r="4" spans="1:11" ht="36.75" customHeight="1" thickBot="1" x14ac:dyDescent="0.25">
      <c r="A4" s="173" t="s">
        <v>32</v>
      </c>
      <c r="B4" s="79" t="s">
        <v>0</v>
      </c>
      <c r="C4" s="80" t="s">
        <v>33</v>
      </c>
      <c r="D4" s="80" t="s">
        <v>34</v>
      </c>
      <c r="E4" s="80" t="s">
        <v>35</v>
      </c>
      <c r="F4" s="95" t="s">
        <v>1</v>
      </c>
      <c r="G4" s="95" t="s">
        <v>2</v>
      </c>
      <c r="H4" s="96" t="s">
        <v>3</v>
      </c>
    </row>
    <row r="5" spans="1:11" ht="21.95" customHeight="1" x14ac:dyDescent="0.2">
      <c r="A5" s="174"/>
      <c r="B5" s="81" t="s">
        <v>22</v>
      </c>
      <c r="C5" s="168"/>
      <c r="D5" s="175"/>
      <c r="E5" s="175"/>
      <c r="F5" s="170" t="s">
        <v>36</v>
      </c>
      <c r="G5" s="170"/>
      <c r="H5" s="97">
        <v>200</v>
      </c>
    </row>
    <row r="6" spans="1:11" ht="69.599999999999994" customHeight="1" x14ac:dyDescent="0.2">
      <c r="A6" s="82" t="s">
        <v>37</v>
      </c>
      <c r="B6" s="83" t="s">
        <v>184</v>
      </c>
      <c r="C6" s="84" t="s">
        <v>63</v>
      </c>
      <c r="D6" s="84" t="s">
        <v>151</v>
      </c>
      <c r="E6" s="84" t="s">
        <v>152</v>
      </c>
      <c r="F6" s="57">
        <v>50</v>
      </c>
      <c r="G6" s="57">
        <v>100</v>
      </c>
      <c r="H6" s="58">
        <v>200</v>
      </c>
      <c r="I6" s="54" t="str">
        <f>'Data Entry'!H6</f>
        <v/>
      </c>
      <c r="J6" s="54" t="str">
        <f>'Data Entry'!I6</f>
        <v/>
      </c>
      <c r="K6" s="54" t="str">
        <f>'Data Entry'!J6</f>
        <v/>
      </c>
    </row>
    <row r="7" spans="1:11" ht="21.95" customHeight="1" x14ac:dyDescent="0.2">
      <c r="A7" s="85" t="s">
        <v>38</v>
      </c>
      <c r="B7" s="81" t="s">
        <v>23</v>
      </c>
      <c r="C7" s="168"/>
      <c r="D7" s="169"/>
      <c r="E7" s="169"/>
      <c r="F7" s="170" t="s">
        <v>36</v>
      </c>
      <c r="G7" s="170"/>
      <c r="H7" s="97">
        <v>500</v>
      </c>
    </row>
    <row r="8" spans="1:11" ht="76.5" x14ac:dyDescent="0.2">
      <c r="A8" s="82" t="s">
        <v>39</v>
      </c>
      <c r="B8" s="86" t="s">
        <v>158</v>
      </c>
      <c r="C8" s="87" t="s">
        <v>185</v>
      </c>
      <c r="D8" s="84" t="s">
        <v>186</v>
      </c>
      <c r="E8" s="84" t="s">
        <v>187</v>
      </c>
      <c r="F8" s="57">
        <v>50</v>
      </c>
      <c r="G8" s="57">
        <v>100</v>
      </c>
      <c r="H8" s="58">
        <v>200</v>
      </c>
      <c r="I8" s="54" t="str">
        <f>'Data Entry'!H18</f>
        <v/>
      </c>
      <c r="J8" s="54" t="str">
        <f>'Data Entry'!I18</f>
        <v/>
      </c>
      <c r="K8" s="54" t="str">
        <f>'Data Entry'!J18</f>
        <v/>
      </c>
    </row>
    <row r="9" spans="1:11" ht="55.7" customHeight="1" x14ac:dyDescent="0.2">
      <c r="A9" s="82" t="s">
        <v>40</v>
      </c>
      <c r="B9" s="88" t="s">
        <v>41</v>
      </c>
      <c r="C9" s="87" t="s">
        <v>133</v>
      </c>
      <c r="D9" s="84" t="s">
        <v>64</v>
      </c>
      <c r="E9" s="84" t="s">
        <v>65</v>
      </c>
      <c r="F9" s="57">
        <v>50</v>
      </c>
      <c r="G9" s="57">
        <v>100</v>
      </c>
      <c r="H9" s="58">
        <v>200</v>
      </c>
      <c r="I9" s="54" t="str">
        <f>'Data Entry'!H33</f>
        <v/>
      </c>
      <c r="J9" s="54" t="str">
        <f>'Data Entry'!I33</f>
        <v/>
      </c>
      <c r="K9" s="54" t="str">
        <f>'Data Entry'!J33</f>
        <v/>
      </c>
    </row>
    <row r="10" spans="1:11" ht="58.7" customHeight="1" x14ac:dyDescent="0.2">
      <c r="A10" s="82" t="s">
        <v>42</v>
      </c>
      <c r="B10" s="89" t="s">
        <v>66</v>
      </c>
      <c r="C10" s="84" t="s">
        <v>188</v>
      </c>
      <c r="D10" s="84" t="s">
        <v>67</v>
      </c>
      <c r="E10" s="84" t="s">
        <v>68</v>
      </c>
      <c r="F10" s="57">
        <v>25</v>
      </c>
      <c r="G10" s="57">
        <v>50</v>
      </c>
      <c r="H10" s="58">
        <v>100</v>
      </c>
      <c r="I10" s="54" t="str">
        <f>'Data Entry'!H40</f>
        <v/>
      </c>
      <c r="J10" s="54" t="str">
        <f>'Data Entry'!I40</f>
        <v/>
      </c>
      <c r="K10" s="54" t="str">
        <f>'Data Entry'!J40</f>
        <v/>
      </c>
    </row>
    <row r="11" spans="1:11" ht="21.95" customHeight="1" x14ac:dyDescent="0.2">
      <c r="A11" s="85" t="s">
        <v>38</v>
      </c>
      <c r="B11" s="81" t="s">
        <v>25</v>
      </c>
      <c r="C11" s="168"/>
      <c r="D11" s="169"/>
      <c r="E11" s="169"/>
      <c r="F11" s="170" t="s">
        <v>36</v>
      </c>
      <c r="G11" s="170"/>
      <c r="H11" s="98">
        <v>900</v>
      </c>
    </row>
    <row r="12" spans="1:11" ht="46.35" customHeight="1" x14ac:dyDescent="0.2">
      <c r="A12" s="82" t="s">
        <v>43</v>
      </c>
      <c r="B12" s="83" t="s">
        <v>69</v>
      </c>
      <c r="C12" s="87" t="s">
        <v>134</v>
      </c>
      <c r="D12" s="87" t="s">
        <v>135</v>
      </c>
      <c r="E12" s="87" t="s">
        <v>136</v>
      </c>
      <c r="F12" s="57">
        <v>50</v>
      </c>
      <c r="G12" s="57">
        <v>100</v>
      </c>
      <c r="H12" s="58">
        <v>200</v>
      </c>
      <c r="I12" s="54" t="str">
        <f>'Data Entry'!H47</f>
        <v/>
      </c>
      <c r="J12" s="54" t="str">
        <f>'Data Entry'!I47</f>
        <v/>
      </c>
      <c r="K12" s="54" t="str">
        <f>'Data Entry'!J47</f>
        <v/>
      </c>
    </row>
    <row r="13" spans="1:11" ht="51" x14ac:dyDescent="0.2">
      <c r="A13" s="82" t="s">
        <v>44</v>
      </c>
      <c r="B13" s="90" t="s">
        <v>189</v>
      </c>
      <c r="C13" s="87" t="s">
        <v>70</v>
      </c>
      <c r="D13" s="84" t="s">
        <v>71</v>
      </c>
      <c r="E13" s="84" t="s">
        <v>72</v>
      </c>
      <c r="F13" s="57">
        <v>50</v>
      </c>
      <c r="G13" s="57">
        <v>100</v>
      </c>
      <c r="H13" s="58">
        <v>200</v>
      </c>
      <c r="I13" s="54" t="str">
        <f>'Data Entry'!H52</f>
        <v/>
      </c>
      <c r="J13" s="54" t="str">
        <f>'Data Entry'!I52</f>
        <v/>
      </c>
      <c r="K13" s="54" t="str">
        <f>'Data Entry'!J52</f>
        <v/>
      </c>
    </row>
    <row r="14" spans="1:11" ht="44.1" customHeight="1" x14ac:dyDescent="0.2">
      <c r="A14" s="82" t="s">
        <v>45</v>
      </c>
      <c r="B14" s="90" t="s">
        <v>190</v>
      </c>
      <c r="C14" s="87" t="s">
        <v>73</v>
      </c>
      <c r="D14" s="84" t="s">
        <v>74</v>
      </c>
      <c r="E14" s="84" t="s">
        <v>75</v>
      </c>
      <c r="F14" s="57">
        <v>50</v>
      </c>
      <c r="G14" s="57">
        <v>100</v>
      </c>
      <c r="H14" s="58">
        <v>200</v>
      </c>
      <c r="I14" s="54" t="str">
        <f>'Data Entry'!H64</f>
        <v/>
      </c>
      <c r="J14" s="54" t="str">
        <f>'Data Entry'!I64</f>
        <v/>
      </c>
      <c r="K14" s="54" t="str">
        <f>'Data Entry'!J64</f>
        <v/>
      </c>
    </row>
    <row r="15" spans="1:11" ht="51" x14ac:dyDescent="0.2">
      <c r="A15" s="82" t="s">
        <v>46</v>
      </c>
      <c r="B15" s="83" t="s">
        <v>191</v>
      </c>
      <c r="C15" s="87" t="s">
        <v>47</v>
      </c>
      <c r="D15" s="87" t="s">
        <v>76</v>
      </c>
      <c r="E15" s="87" t="s">
        <v>77</v>
      </c>
      <c r="F15" s="57">
        <v>25</v>
      </c>
      <c r="G15" s="57">
        <v>50</v>
      </c>
      <c r="H15" s="58">
        <v>100</v>
      </c>
      <c r="I15" s="54" t="str">
        <f>'Data Entry'!H69</f>
        <v/>
      </c>
      <c r="J15" s="54" t="str">
        <f>'Data Entry'!I69</f>
        <v/>
      </c>
      <c r="K15" s="54" t="str">
        <f>'Data Entry'!J69</f>
        <v/>
      </c>
    </row>
    <row r="16" spans="1:11" ht="80.099999999999994" customHeight="1" x14ac:dyDescent="0.2">
      <c r="A16" s="82" t="s">
        <v>48</v>
      </c>
      <c r="B16" s="90" t="s">
        <v>192</v>
      </c>
      <c r="C16" s="87" t="s">
        <v>78</v>
      </c>
      <c r="D16" s="84" t="s">
        <v>79</v>
      </c>
      <c r="E16" s="84" t="s">
        <v>80</v>
      </c>
      <c r="F16" s="57">
        <v>50</v>
      </c>
      <c r="G16" s="57">
        <v>100</v>
      </c>
      <c r="H16" s="58">
        <v>200</v>
      </c>
      <c r="I16" s="54" t="str">
        <f>'Data Entry'!H79</f>
        <v/>
      </c>
      <c r="J16" s="54" t="str">
        <f>'Data Entry'!I79</f>
        <v/>
      </c>
      <c r="K16" s="54" t="str">
        <f>'Data Entry'!J79</f>
        <v/>
      </c>
    </row>
    <row r="17" spans="1:11" ht="21.75" customHeight="1" x14ac:dyDescent="0.2">
      <c r="A17" s="85" t="s">
        <v>38</v>
      </c>
      <c r="B17" s="81" t="s">
        <v>49</v>
      </c>
      <c r="C17" s="168"/>
      <c r="D17" s="169"/>
      <c r="E17" s="169"/>
      <c r="F17" s="170" t="s">
        <v>36</v>
      </c>
      <c r="G17" s="170"/>
      <c r="H17" s="97">
        <v>400</v>
      </c>
    </row>
    <row r="18" spans="1:11" ht="63.75" x14ac:dyDescent="0.2">
      <c r="A18" s="82" t="s">
        <v>50</v>
      </c>
      <c r="B18" s="83" t="s">
        <v>193</v>
      </c>
      <c r="C18" s="87" t="s">
        <v>146</v>
      </c>
      <c r="D18" s="87" t="s">
        <v>81</v>
      </c>
      <c r="E18" s="87" t="s">
        <v>82</v>
      </c>
      <c r="F18" s="57">
        <v>50</v>
      </c>
      <c r="G18" s="57">
        <v>100</v>
      </c>
      <c r="H18" s="58">
        <v>200</v>
      </c>
      <c r="I18" s="54" t="str">
        <f>'Data Entry'!H98</f>
        <v/>
      </c>
      <c r="J18" s="54" t="str">
        <f>'Data Entry'!I98</f>
        <v/>
      </c>
      <c r="K18" s="54" t="str">
        <f>'Data Entry'!J98</f>
        <v/>
      </c>
    </row>
    <row r="19" spans="1:11" ht="106.7" customHeight="1" thickBot="1" x14ac:dyDescent="0.25">
      <c r="A19" s="91" t="s">
        <v>51</v>
      </c>
      <c r="B19" s="92" t="s">
        <v>194</v>
      </c>
      <c r="C19" s="93" t="s">
        <v>137</v>
      </c>
      <c r="D19" s="94" t="s">
        <v>83</v>
      </c>
      <c r="E19" s="94" t="s">
        <v>147</v>
      </c>
      <c r="F19" s="59">
        <v>50</v>
      </c>
      <c r="G19" s="59">
        <v>100</v>
      </c>
      <c r="H19" s="60">
        <v>200</v>
      </c>
      <c r="I19" s="54" t="str">
        <f>'Data Entry'!H107</f>
        <v/>
      </c>
      <c r="J19" s="54" t="str">
        <f>'Data Entry'!I107</f>
        <v/>
      </c>
      <c r="K19" s="54" t="str">
        <f>'Data Entry'!J107</f>
        <v/>
      </c>
    </row>
    <row r="20" spans="1:11" ht="23.1" customHeight="1" x14ac:dyDescent="0.2">
      <c r="E20" s="61"/>
      <c r="F20" s="62"/>
      <c r="G20" s="62"/>
      <c r="H20" s="62"/>
    </row>
    <row r="21" spans="1:11" ht="19.350000000000001" customHeight="1" thickBot="1" x14ac:dyDescent="0.25">
      <c r="A21" s="63" t="str">
        <f>IF('Data Entry'!D119=1,"ý","o")</f>
        <v>o</v>
      </c>
      <c r="B21" s="64" t="s">
        <v>53</v>
      </c>
      <c r="C21" s="65"/>
      <c r="E21" s="66" t="s">
        <v>54</v>
      </c>
      <c r="H21" s="67">
        <f>'Data Entry'!J119</f>
        <v>0</v>
      </c>
    </row>
    <row r="22" spans="1:11" ht="19.350000000000001" customHeight="1" x14ac:dyDescent="0.2">
      <c r="A22" s="63" t="str">
        <f>IF('Data Entry'!D119=11,"ý","o")</f>
        <v>o</v>
      </c>
      <c r="B22" s="64" t="s">
        <v>84</v>
      </c>
      <c r="C22" s="65"/>
      <c r="E22" s="66"/>
    </row>
    <row r="23" spans="1:11" ht="19.350000000000001" customHeight="1" thickBot="1" x14ac:dyDescent="0.25">
      <c r="A23" s="63" t="str">
        <f>IF('Data Entry'!D119=111,"ý","o")</f>
        <v>o</v>
      </c>
      <c r="B23" s="64" t="s">
        <v>148</v>
      </c>
      <c r="C23" s="65"/>
      <c r="D23" s="65"/>
      <c r="E23" s="66" t="s">
        <v>55</v>
      </c>
      <c r="H23" s="68">
        <f>'Data Entry'!J121</f>
        <v>0</v>
      </c>
    </row>
    <row r="24" spans="1:11" ht="19.350000000000001" customHeight="1" x14ac:dyDescent="0.2">
      <c r="A24" s="69"/>
      <c r="E24" s="66"/>
      <c r="F24" s="66"/>
      <c r="G24" s="66"/>
      <c r="H24" s="66"/>
    </row>
    <row r="25" spans="1:11" ht="19.350000000000001" customHeight="1" x14ac:dyDescent="0.2">
      <c r="A25" s="70" t="s">
        <v>52</v>
      </c>
      <c r="B25" s="71" t="s">
        <v>128</v>
      </c>
    </row>
    <row r="26" spans="1:11" ht="14.25" customHeight="1" x14ac:dyDescent="0.2">
      <c r="A26" s="69"/>
    </row>
    <row r="27" spans="1:11" ht="12.75" customHeight="1" x14ac:dyDescent="0.2">
      <c r="A27" s="70" t="s">
        <v>52</v>
      </c>
      <c r="B27" s="72" t="s">
        <v>56</v>
      </c>
      <c r="C27" s="54"/>
    </row>
    <row r="28" spans="1:11" ht="29.85" customHeight="1" x14ac:dyDescent="0.2">
      <c r="C28" s="54"/>
    </row>
    <row r="29" spans="1:11" x14ac:dyDescent="0.2">
      <c r="B29" s="73" t="s">
        <v>127</v>
      </c>
      <c r="C29" s="54"/>
      <c r="D29" s="73" t="s">
        <v>57</v>
      </c>
    </row>
    <row r="30" spans="1:11" ht="21.6" customHeight="1" x14ac:dyDescent="0.2">
      <c r="B30" s="73"/>
      <c r="C30" s="54"/>
    </row>
    <row r="31" spans="1:11" x14ac:dyDescent="0.2">
      <c r="B31" s="73" t="s">
        <v>58</v>
      </c>
      <c r="C31" s="54"/>
      <c r="D31" s="73" t="s">
        <v>57</v>
      </c>
    </row>
    <row r="32" spans="1:11" ht="21.6" customHeight="1" x14ac:dyDescent="0.2">
      <c r="C32" s="54"/>
    </row>
    <row r="33" spans="1:4" x14ac:dyDescent="0.2">
      <c r="B33" s="73" t="s">
        <v>59</v>
      </c>
      <c r="C33" s="54"/>
      <c r="D33" s="73" t="s">
        <v>57</v>
      </c>
    </row>
    <row r="34" spans="1:4" ht="21.6" customHeight="1" x14ac:dyDescent="0.2">
      <c r="A34" s="56"/>
      <c r="C34" s="54"/>
    </row>
    <row r="35" spans="1:4" x14ac:dyDescent="0.2">
      <c r="A35" s="56"/>
      <c r="B35" s="74" t="s">
        <v>131</v>
      </c>
      <c r="C35" s="54"/>
    </row>
    <row r="36" spans="1:4" ht="18.600000000000001" customHeight="1" x14ac:dyDescent="0.2">
      <c r="A36" s="56"/>
      <c r="B36" s="74"/>
      <c r="C36" s="54"/>
    </row>
    <row r="37" spans="1:4" x14ac:dyDescent="0.2">
      <c r="B37" s="75"/>
    </row>
    <row r="38" spans="1:4" x14ac:dyDescent="0.2">
      <c r="B38" s="75"/>
    </row>
  </sheetData>
  <sheetProtection algorithmName="SHA-512" hashValue="ctZo0aqyT68j5LIFAiyY6LPhrhOKliDP5t+oAj8/Fuy/7DL4nzw+So6gn1MjFBOaw8v1eHAXjcqX+iVahBnYqA==" saltValue="8smYXlyNPSXm3v2TARTNlA==" spinCount="100000" sheet="1" selectLockedCells="1" selectUnlockedCells="1"/>
  <mergeCells count="12">
    <mergeCell ref="C11:E11"/>
    <mergeCell ref="F11:G11"/>
    <mergeCell ref="C17:E17"/>
    <mergeCell ref="F17:G17"/>
    <mergeCell ref="A1:H1"/>
    <mergeCell ref="A2:H2"/>
    <mergeCell ref="A4:A5"/>
    <mergeCell ref="C5:E5"/>
    <mergeCell ref="F5:G5"/>
    <mergeCell ref="C7:E7"/>
    <mergeCell ref="A3:H3"/>
    <mergeCell ref="F7:G7"/>
  </mergeCells>
  <conditionalFormatting sqref="F9">
    <cfRule type="expression" dxfId="32" priority="57" stopIfTrue="1">
      <formula>$I9&lt;&gt;""</formula>
    </cfRule>
  </conditionalFormatting>
  <conditionalFormatting sqref="G9">
    <cfRule type="expression" dxfId="31" priority="56" stopIfTrue="1">
      <formula>$J9&lt;&gt;""</formula>
    </cfRule>
  </conditionalFormatting>
  <conditionalFormatting sqref="H9">
    <cfRule type="expression" dxfId="30" priority="55" stopIfTrue="1">
      <formula>$K9&lt;&gt;""</formula>
    </cfRule>
  </conditionalFormatting>
  <conditionalFormatting sqref="F8">
    <cfRule type="expression" dxfId="29" priority="30" stopIfTrue="1">
      <formula>$I8&lt;&gt;""</formula>
    </cfRule>
  </conditionalFormatting>
  <conditionalFormatting sqref="G8">
    <cfRule type="expression" dxfId="28" priority="29" stopIfTrue="1">
      <formula>$J8&lt;&gt;""</formula>
    </cfRule>
  </conditionalFormatting>
  <conditionalFormatting sqref="H8">
    <cfRule type="expression" dxfId="27" priority="28" stopIfTrue="1">
      <formula>$K8&lt;&gt;""</formula>
    </cfRule>
  </conditionalFormatting>
  <conditionalFormatting sqref="F6">
    <cfRule type="expression" dxfId="26" priority="27" stopIfTrue="1">
      <formula>$I6&lt;&gt;""</formula>
    </cfRule>
  </conditionalFormatting>
  <conditionalFormatting sqref="G6">
    <cfRule type="expression" dxfId="25" priority="26" stopIfTrue="1">
      <formula>$J6&lt;&gt;""</formula>
    </cfRule>
  </conditionalFormatting>
  <conditionalFormatting sqref="H6">
    <cfRule type="expression" dxfId="24" priority="25" stopIfTrue="1">
      <formula>$K6&lt;&gt;""</formula>
    </cfRule>
  </conditionalFormatting>
  <conditionalFormatting sqref="F10">
    <cfRule type="expression" dxfId="23" priority="24" stopIfTrue="1">
      <formula>$I10&lt;&gt;""</formula>
    </cfRule>
  </conditionalFormatting>
  <conditionalFormatting sqref="G10">
    <cfRule type="expression" dxfId="22" priority="23" stopIfTrue="1">
      <formula>$J10&lt;&gt;""</formula>
    </cfRule>
  </conditionalFormatting>
  <conditionalFormatting sqref="H10">
    <cfRule type="expression" dxfId="21" priority="22" stopIfTrue="1">
      <formula>$K10&lt;&gt;""</formula>
    </cfRule>
  </conditionalFormatting>
  <conditionalFormatting sqref="F12">
    <cfRule type="expression" dxfId="20" priority="21" stopIfTrue="1">
      <formula>$I12&lt;&gt;""</formula>
    </cfRule>
  </conditionalFormatting>
  <conditionalFormatting sqref="G12">
    <cfRule type="expression" dxfId="19" priority="20" stopIfTrue="1">
      <formula>$J12&lt;&gt;""</formula>
    </cfRule>
  </conditionalFormatting>
  <conditionalFormatting sqref="H12">
    <cfRule type="expression" dxfId="18" priority="19" stopIfTrue="1">
      <formula>$K12&lt;&gt;""</formula>
    </cfRule>
  </conditionalFormatting>
  <conditionalFormatting sqref="F13">
    <cfRule type="expression" dxfId="17" priority="18" stopIfTrue="1">
      <formula>$I13&lt;&gt;""</formula>
    </cfRule>
  </conditionalFormatting>
  <conditionalFormatting sqref="G13">
    <cfRule type="expression" dxfId="16" priority="17" stopIfTrue="1">
      <formula>$J13&lt;&gt;""</formula>
    </cfRule>
  </conditionalFormatting>
  <conditionalFormatting sqref="H13">
    <cfRule type="expression" dxfId="15" priority="16" stopIfTrue="1">
      <formula>$K13&lt;&gt;""</formula>
    </cfRule>
  </conditionalFormatting>
  <conditionalFormatting sqref="F14">
    <cfRule type="expression" dxfId="14" priority="15" stopIfTrue="1">
      <formula>$I14&lt;&gt;""</formula>
    </cfRule>
  </conditionalFormatting>
  <conditionalFormatting sqref="G14">
    <cfRule type="expression" dxfId="13" priority="14" stopIfTrue="1">
      <formula>$J14&lt;&gt;""</formula>
    </cfRule>
  </conditionalFormatting>
  <conditionalFormatting sqref="H14">
    <cfRule type="expression" dxfId="12" priority="13" stopIfTrue="1">
      <formula>$K14&lt;&gt;""</formula>
    </cfRule>
  </conditionalFormatting>
  <conditionalFormatting sqref="F15">
    <cfRule type="expression" dxfId="11" priority="12" stopIfTrue="1">
      <formula>$I15&lt;&gt;""</formula>
    </cfRule>
  </conditionalFormatting>
  <conditionalFormatting sqref="G15">
    <cfRule type="expression" dxfId="10" priority="11" stopIfTrue="1">
      <formula>$J15&lt;&gt;""</formula>
    </cfRule>
  </conditionalFormatting>
  <conditionalFormatting sqref="H15">
    <cfRule type="expression" dxfId="9" priority="10" stopIfTrue="1">
      <formula>$K15&lt;&gt;""</formula>
    </cfRule>
  </conditionalFormatting>
  <conditionalFormatting sqref="F16">
    <cfRule type="expression" dxfId="8" priority="9" stopIfTrue="1">
      <formula>$I16&lt;&gt;""</formula>
    </cfRule>
  </conditionalFormatting>
  <conditionalFormatting sqref="G16">
    <cfRule type="expression" dxfId="7" priority="8" stopIfTrue="1">
      <formula>$J16&lt;&gt;""</formula>
    </cfRule>
  </conditionalFormatting>
  <conditionalFormatting sqref="H16">
    <cfRule type="expression" dxfId="6" priority="7" stopIfTrue="1">
      <formula>$K16&lt;&gt;""</formula>
    </cfRule>
  </conditionalFormatting>
  <conditionalFormatting sqref="F18">
    <cfRule type="expression" dxfId="5" priority="6" stopIfTrue="1">
      <formula>$I18&lt;&gt;""</formula>
    </cfRule>
  </conditionalFormatting>
  <conditionalFormatting sqref="G18">
    <cfRule type="expression" dxfId="4" priority="5" stopIfTrue="1">
      <formula>$J18&lt;&gt;""</formula>
    </cfRule>
  </conditionalFormatting>
  <conditionalFormatting sqref="H18">
    <cfRule type="expression" dxfId="3" priority="4" stopIfTrue="1">
      <formula>$K18&lt;&gt;""</formula>
    </cfRule>
  </conditionalFormatting>
  <conditionalFormatting sqref="F19">
    <cfRule type="expression" dxfId="2" priority="3" stopIfTrue="1">
      <formula>$I19&lt;&gt;""</formula>
    </cfRule>
  </conditionalFormatting>
  <conditionalFormatting sqref="G19">
    <cfRule type="expression" dxfId="1" priority="2" stopIfTrue="1">
      <formula>$J19&lt;&gt;""</formula>
    </cfRule>
  </conditionalFormatting>
  <conditionalFormatting sqref="H19">
    <cfRule type="expression" dxfId="0" priority="1" stopIfTrue="1">
      <formula>$K19&lt;&gt;""</formula>
    </cfRule>
  </conditionalFormatting>
  <printOptions horizontalCentered="1"/>
  <pageMargins left="0.5" right="0.5" top="0.5" bottom="0.5" header="0.5" footer="0.25"/>
  <pageSetup scale="62" orientation="portrait" horizontalDpi="4294967293" verticalDpi="4294967293" r:id="rId1"/>
  <headerFooter alignWithMargins="0">
    <oddFooter>&amp;LRevised: 04/26/21&amp;C&amp;G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Setup &amp; Instructions</vt:lpstr>
      <vt:lpstr>Data Entry</vt:lpstr>
      <vt:lpstr>Scorecard</vt:lpstr>
      <vt:lpstr>adds</vt:lpstr>
      <vt:lpstr>beascout_flag</vt:lpstr>
      <vt:lpstr>bronze_met</vt:lpstr>
      <vt:lpstr>build_bronze_score</vt:lpstr>
      <vt:lpstr>build_gold_points</vt:lpstr>
      <vt:lpstr>build_gold_score</vt:lpstr>
      <vt:lpstr>build_silver_points</vt:lpstr>
      <vt:lpstr>build_silver_score</vt:lpstr>
      <vt:lpstr>DistrictName</vt:lpstr>
      <vt:lpstr>drops</vt:lpstr>
      <vt:lpstr>gain</vt:lpstr>
      <vt:lpstr>gold_auto_score</vt:lpstr>
      <vt:lpstr>num_scouts</vt:lpstr>
      <vt:lpstr>'Data Entry'!Print_Titles</vt:lpstr>
      <vt:lpstr>RECHARTER_CALC</vt:lpstr>
      <vt:lpstr>recruitment_event</vt:lpstr>
      <vt:lpstr>silver_auto_score</vt:lpstr>
    </vt:vector>
  </TitlesOfParts>
  <Company>Volunteer Developed.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Troop JTE Spreadsheet v20210426</dc:title>
  <dc:creator>Frederick Hillenbrand</dc:creator>
  <cp:lastModifiedBy>Anna Wilson</cp:lastModifiedBy>
  <cp:lastPrinted>2018-10-21T22:57:20Z</cp:lastPrinted>
  <dcterms:created xsi:type="dcterms:W3CDTF">2014-08-26T17:24:57Z</dcterms:created>
  <dcterms:modified xsi:type="dcterms:W3CDTF">2021-10-27T19:20:22Z</dcterms:modified>
  <cp:contentStatus>v20210426</cp:contentStatus>
</cp:coreProperties>
</file>